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ções coleta" sheetId="1" r:id="rId4"/>
    <sheet state="visible" name="Geral" sheetId="2" r:id="rId5"/>
    <sheet state="visible" name="Coleta 1 ano, título, palavras " sheetId="3" r:id="rId6"/>
    <sheet state="visible" name="Coleta 2 autor, instituição, ci" sheetId="4" r:id="rId7"/>
    <sheet state="visible" name="Testes e Rascunhos" sheetId="5" r:id="rId8"/>
  </sheets>
  <definedNames>
    <definedName hidden="1" localSheetId="3" name="_xlnm._FilterDatabase">'Coleta 2 autor, instituição, ci'!$A$1:$Z$420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termos extraídos do título, que não se encontravam nas palavras chave. (processo manual)</t>
      </text>
    </comment>
    <comment authorId="0" ref="L1">
      <text>
        <t xml:space="preserve">Essa coluna é a junção das colunas palavraChave com palavraTitulo.
Transformadas para minúsculo.</t>
      </text>
    </comment>
    <comment authorId="0" ref="D902">
      <text>
        <t xml:space="preserve">sem palavras chave no artigo.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cinco primeiras letras das palavras
 do título</t>
      </text>
    </comment>
  </commentList>
</comments>
</file>

<file path=xl/sharedStrings.xml><?xml version="1.0" encoding="utf-8"?>
<sst xmlns="http://schemas.openxmlformats.org/spreadsheetml/2006/main" count="4394" uniqueCount="920">
  <si>
    <t>Instruções para preenchimento das planilhas Coleta 1 e Coleta 2</t>
  </si>
  <si>
    <t>Para cada artigo:</t>
  </si>
  <si>
    <t>1. Preencher o ano do WIDat (Coleta 1: coluna anoWidat em azul e linha apotada por CAD=&gt;)</t>
  </si>
  <si>
    <t>2. Copiar diretamente do artigo o título (Coleta 1: coluna títuloCopiado em azul e linha apotada por CAD=&gt;)</t>
  </si>
  <si>
    <t>3. Copiar do artigo as palavras chave (Coleta 1: coluna palavrasChaveCopiadas em azul e linha apotada por CAD=&gt;). É possível ter de 1 a 6 palavras chaves.</t>
  </si>
  <si>
    <t>4. Editar as palavras chaves (Coleta 1: coluna palavrasChavesCopiadas) para que fiquem separadas por ponto-e-vírgula. Não colocar ponto final.</t>
  </si>
  <si>
    <t>5. Copiar o código gerado da coluna chaveTituloAno (Coleta 1: verde) para a próxima linha disponível em Coleta 2: coluna chaveTituloAno (Preto)</t>
  </si>
  <si>
    <t>6. Repetir o passo 5 para cada autor do artigo e preenchendo nas colunas seguintes os seus respectivos dados.</t>
  </si>
  <si>
    <t>(caso um autor esteja vinculado a duas instituições, coloque-as separadas por vírgula)</t>
  </si>
  <si>
    <t>WIDaT:</t>
  </si>
  <si>
    <t>Local:</t>
  </si>
  <si>
    <t>Florianópolis-SC</t>
  </si>
  <si>
    <t>Instituição</t>
  </si>
  <si>
    <t>UFSC</t>
  </si>
  <si>
    <t>Link evento:</t>
  </si>
  <si>
    <t>https://www.widat2017.ufsc.br/</t>
  </si>
  <si>
    <t>Link anais:</t>
  </si>
  <si>
    <t>https://repositorio.ufsc.br/bitstream/handle/123456789/180265/Anais.do.WIDAT2017.pdf</t>
  </si>
  <si>
    <t>João Pessoa-PB</t>
  </si>
  <si>
    <t>UFPB</t>
  </si>
  <si>
    <t>Link evento (fora do ar)</t>
  </si>
  <si>
    <t>https://www.ufpb.br/widat</t>
  </si>
  <si>
    <t xml:space="preserve">Link divulgação: </t>
  </si>
  <si>
    <t>http://www.prpg.ufpb.br/prpg/contents/noticias/o-ii-workshop-de-informacao-dados-e-tecnologia-widat-2018-e-a-confirmacao-do-sucesso-da-primeira-edicao-do-evento-realizado-no-ambito-do-programa-de-pos-graduacao-em-ciencia-da-informacao-ppgcin-universidade-federal-de-santa-catarina-ufsc-no-ano-de-2017</t>
  </si>
  <si>
    <t>https://dadosabertos.info/enhanced_publications/idt/?fbclid=IwAR0H2NShAeX5P1fUovmkTxG_k12L-M9uyEOacjA7_ER2tFQGHcjYW8PTG20</t>
  </si>
  <si>
    <t>Brasília-DF</t>
  </si>
  <si>
    <t>UnB</t>
  </si>
  <si>
    <t>http://widat2019.fci.unb.br/</t>
  </si>
  <si>
    <t>http://widat2019.fci.unb.br/index.php/anais-widat-2019</t>
  </si>
  <si>
    <t>Belo Horizonte-MG</t>
  </si>
  <si>
    <t>CEFET-MG</t>
  </si>
  <si>
    <t>não achado</t>
  </si>
  <si>
    <t>Link divulgação:</t>
  </si>
  <si>
    <t>https://pgcin.ufsc.br/2021/10/20/o-iv-workshop-de-informacao-dados-e-tecnologia-widat-2021/</t>
  </si>
  <si>
    <t>https://pub.colnes.org/index.php/anis/issue/view/14</t>
  </si>
  <si>
    <t>Vitória-ES</t>
  </si>
  <si>
    <t>UFES</t>
  </si>
  <si>
    <t>https://widat2022.ufes.br/</t>
  </si>
  <si>
    <t>https://widat2022.ufes.br/wp-content/uploads/2023/04/widat-2022-anais.pdf</t>
  </si>
  <si>
    <t>Qtde de artigos nos anais:</t>
  </si>
  <si>
    <t>ok</t>
  </si>
  <si>
    <t>Total</t>
  </si>
  <si>
    <t>anoWidat</t>
  </si>
  <si>
    <t>tituloCopiado</t>
  </si>
  <si>
    <t>palavrasChaveCopiadas</t>
  </si>
  <si>
    <t>Verde (OpenRefine )=&gt;</t>
  </si>
  <si>
    <t>chaveTituloAno</t>
  </si>
  <si>
    <t>titulo</t>
  </si>
  <si>
    <t>palavraChave</t>
  </si>
  <si>
    <t>palavraTitulo</t>
  </si>
  <si>
    <t>termo</t>
  </si>
  <si>
    <t>Colunas auxiliares ==&gt;</t>
  </si>
  <si>
    <t>palavraChaveBruta</t>
  </si>
  <si>
    <t>titulo dividido</t>
  </si>
  <si>
    <t>CAD=&gt;</t>
  </si>
  <si>
    <t>REPRESENTAÇÃO DE DADOS DE PESQUISA COM O PADRÃO DUBLIN CORE: UMA PROPOSTA DE MODELAGEM DE METADADOS PARA PROJETOS COVID-19 NO ÂMBITO DA UNIVERSIDADE FEDERAL DO ESPÍRITO SANTO</t>
  </si>
  <si>
    <t>Representação da Informação; Atividades Científicas e Tecnológicas; Padrão Dublin Core; Modelagem de Metadados; Repositório Digital</t>
  </si>
  <si>
    <t>A WEB SEMÂNTICA APLICADA NA RECUPERAÇÃO DE INFORMAÇÃO: Um Estudo de Caso no Contexto Estatístico de Uso de Livros Digitais por Alunos de Graduação</t>
  </si>
  <si>
    <t>Recuperação da informação; Web semântica; Interoperabilidade; Acesso à informação; Livros digitais</t>
  </si>
  <si>
    <t>BRASILIANA MUSEUS: teste funcional do agregador de dados museais do Instituto Brasileiro de Museus</t>
  </si>
  <si>
    <t>Agregador; Brasiliana Museus; Tainacan; Teste Funcional; Teste de Software</t>
  </si>
  <si>
    <t xml:space="preserve">HL7 FHIR BASEADO EM W3C PROV PARA ALCANÇAR A PROVENIÊNCIA DE DADOS EM SISTEMAS DE INFORMAÇÃO EM SAÚDE </t>
  </si>
  <si>
    <t>Proveniência de Dados; W3C PROV; Sistemas de Informação em Saúde; Interoperabilidade; HL7 FHIR</t>
  </si>
  <si>
    <t>IMAGO: uma proposta para o banco de imagens do Instituto Brasileiro de Informação em Ciência e Tecnologia</t>
  </si>
  <si>
    <t>ciência e tecnologia; banco de imagens; critérios de avaliação; diretrizes de utilização</t>
  </si>
  <si>
    <t>Métodos Ágeis na Ciência da Informação: Ensino do Scrum</t>
  </si>
  <si>
    <t>Métodos ágeis; Scrum; Ciência da Informação; Profissional da Informação; Competência em dados</t>
  </si>
  <si>
    <t>ORGANIZAÇÃO DE OBJETOS DE APRENDIZAGEM COM BASE NO PADRÃO LOM-IEEE UTILIZANDO DADOS LIGADOS  INTEROPERÁVEIS NA WEB SEMÂNTICA</t>
  </si>
  <si>
    <t>Objetos de aprendizagem; Organização do conhecimento; Padrão LOM-IEEE; Dados Ligados; Web semântica</t>
  </si>
  <si>
    <t>PROCESSO SISTEMÁTICO FUNDAMENTADO EM MODELAGEM ONTOLÓGICA APLICADO À ESTRATIFICAÇÃO DE RISCO EM SAÚDE MENTAL PARA ANÁLISE QUALI-QUANTI</t>
  </si>
  <si>
    <t>Saúde Mental; Ontologia; Psicoterapia; Análise Quali-Quanti; Grafos de Conhecimento</t>
  </si>
  <si>
    <t>QUALIFICAÇÃO DE REPOSITÓRIOS DE DADOS E DE PUBLICAÇÕES: uma proposta de critérios alinhada à Ciência Aberta</t>
  </si>
  <si>
    <t>Ciência Aberta; Qualificação de repositórios; Repositório de Dados; Repositórios de publicações</t>
  </si>
  <si>
    <t>REPOSITÓRIOS DE DADOS DE PESQUISA: análise à luz dos princípios FAIR</t>
  </si>
  <si>
    <t>Dado de pesquisa; Repositório de dados; Princípios FAIR</t>
  </si>
  <si>
    <t>A aplicabilidade da Folksonomia nos estudos altmétricos</t>
  </si>
  <si>
    <t>Folksonomia; Altmetria; Redes Sociais; Indexação; Estudos Métricos</t>
  </si>
  <si>
    <t>A INDÚSTRIA 4.0 SOB O PRISMA DA CIÊNCIA DE DADOS: Uma proposta de modelo de maturidade</t>
  </si>
  <si>
    <t>Indústria 4.0; Modelo de maturidade; Ciência de Dados</t>
  </si>
  <si>
    <t>CIÊNCIA DE DADOS: uma revisão de literatura em periódicos da Ciência da Informação</t>
  </si>
  <si>
    <t>Ciência de Dados; Ciência da Informação; Produção Científica; Estrato Qualis</t>
  </si>
  <si>
    <t>DESCOBERTA DE CONHECIMENTO APLICADA À BASE DE  DADOS ABERTOS DA ANVISA SOBRE PREÇOS DE MEDICAMENTOS  POR MEIO DE ANÁLISE DE REDES DE INFORMAÇÃO</t>
  </si>
  <si>
    <t>Descoberta de conhecimento; Anvisa; Análise de redes complexas; Ciência de dados</t>
  </si>
  <si>
    <t>DESCOBERTA DE RELAÇÕES ENTRE ESTADOS BRASILEIROS A PARTIR DE DADOS FINANCEIROS DE OPERAÇÕES DE CRÉDITO DISPONÍVEIS EM DADOS ABERTOS DO BANCO CENTRAL</t>
  </si>
  <si>
    <t>análise de redes de informação; dados abertos; rede monopartida; modelagem de dados; mercado financeiro</t>
  </si>
  <si>
    <t>DETECÇÃO DE VAZAMENTOS DE FLUIDOS DE FREIOS A AR EM VAGÕES DO TIPO GÔNDOLA ATRAVÉS DO SINAL ACÚSTICO: Um modelo de classificação de falhas</t>
  </si>
  <si>
    <t>detecção de falhas; freios de vagões; sinal acústico; falhas de freios</t>
  </si>
  <si>
    <t>Diagnóstico de falhas: Uma revisão e análise de dados de vibração e suas aplicações</t>
  </si>
  <si>
    <t>Diagnóstico de Falhas; Aprendizado de Máquina; Análise de Dados de Vibração; Bias de Similaridade</t>
  </si>
  <si>
    <t>LIBERDADE DE EXPRESSÃO: A narrativa no Twitter em um contexto de Análise de Redes Sociais</t>
  </si>
  <si>
    <t>Análise de Redes Sociais; Liberdade de Expressão; Twitter</t>
  </si>
  <si>
    <t>Análise da regionalidade do conjunto de artigos publicados em eventos científicos</t>
  </si>
  <si>
    <t>Produção científica; eventos científicos; anais; Plataforma Lattes</t>
  </si>
  <si>
    <t>CLASSIFICAÇÃO AUTOMÁTICA DE ARTIGOS PUBLICADOS NO ENCONTRO NACIONAL DE PESQUISA EM CIÊNCIA DA INFORMAÇÃO - 2021</t>
  </si>
  <si>
    <t>Ciência da Informação; Machine Learning; Classificação textual; Dados não-estruturados; Algoritmo</t>
  </si>
  <si>
    <t>CRIAÇÃO E CAPTURA DE VALOR BASEADAS EM BIG DATA PARA A INOVAÇÃO EM PRODUTOS E SERVIÇOS: análise da produção científica</t>
  </si>
  <si>
    <t>Informação; Criação de valor; Captura de valor; Big Data; Inovação</t>
  </si>
  <si>
    <t>METADADOS PARA COLEÇÕES E ACERVOS ARTÍSTICOS UNIVERSITÁRIOS</t>
  </si>
  <si>
    <t>Organização da informação; Acervo artístico universitário; Crosswalk; Metadados</t>
  </si>
  <si>
    <t>Patentes como fonte de dados para análise sobre a produção técnica</t>
  </si>
  <si>
    <t>Patente; BRCRIS; Espacenet; Plataforma Lattes; Coleta de dados</t>
  </si>
  <si>
    <t>Plataforma para Agregação e Análises de Dados Técnicos-Científicos</t>
  </si>
  <si>
    <t>BRCRIS; Plataforma Lattes; Tratamento de dados</t>
  </si>
  <si>
    <t>Produção Científica em Ciência da Informação: utilizando os dados abertos CAPES</t>
  </si>
  <si>
    <t>Dados abertos; Ciência de dados; CAPES; Programas de pós-graduação em Ciência da Informação; Dissertações e teses</t>
  </si>
  <si>
    <t>TRATAMENTO DA INFORMAÇÃO EM ACERVOS CULTURAIS: avaliação do uso de vocabulários controlados em coleções museológicas sob gestão do Instituto Brasileiro de Museus</t>
  </si>
  <si>
    <t>Museus; Organização da Informação; Representação da Informação; Qualidade de dados; Vocabulário controlado</t>
  </si>
  <si>
    <t>VISUALIZAÇÃO DE DADOS ABERTOS NO CONTEXTO DA PÓS-GRADUAÇÃO EM CIÊNCIA DA INFORMAÇÃO: análise bibliométrica dos estudos defendidos</t>
  </si>
  <si>
    <t>visualização de dados abertos; programas de Pós-Graduação; Ciência da Informação; plano de dados abertos da Capes</t>
  </si>
  <si>
    <t>A RELAÇÃO DA ORGANIZAÇÃO DO CONHECIMENTO COM AS HUMANIDADES DIGITAIS A PARTIR DAS DEZ PREMISSAS DE BARITE</t>
  </si>
  <si>
    <t>Organização do Conhecimento; Humanidades Digitais; Representação do Conhecimento</t>
  </si>
  <si>
    <t>CONTRATOS INTELIGENTES NO DESENVOLVIMENTO DE COLEÇÕES: uma abordagem orientada à blockchain</t>
  </si>
  <si>
    <t>biblioteca; desenvolvimento de coleções; política de desenvolvimento de coleções; blockchain; contratos inteligentes</t>
  </si>
  <si>
    <t>DIREITOS AUTORAIS RELACIONADOS À MEMÓRIA INSTITUCIONAL E ARTÍSTICA DO TRIBUNAL DE JUSTIÇA DO DISTRITO FEDERAL E TERRITÓRIOS</t>
  </si>
  <si>
    <t>Direito autoral; Direito de imagem; Fotografia; Obra de arte; TJDFT</t>
  </si>
  <si>
    <t>IMPACTO DA ADEQUAÇÃO À LEI GERAL DE PROTEÇÃO DE DADOS PESSOAIS NA METRIFICAÇÃO DA QUALIDADE DE DADOS</t>
  </si>
  <si>
    <t>Qualidade de Dados; Lei Geral de Proteção de Dados Pessoais; Ciência de Dados</t>
  </si>
  <si>
    <t xml:space="preserve">Modelo de Preservação Hipatia: metodologia de estudo de metadados para extração </t>
  </si>
  <si>
    <t>Modelo de Preservação; Hipatia; Extração de dados; Preservação Digital</t>
  </si>
  <si>
    <t>Previsão de crimes em Valência: Uma abordagem multi-rótulo</t>
  </si>
  <si>
    <t>Aprendizado de máquina; previsão de crimes; multirrótulo</t>
  </si>
  <si>
    <t>PROCESSAMENTO DE LINGUAGEM NATURAL E MACHINE LEARNING COMO APARATO PARA A CATEGORIZAÇÃO DE ARTIGOS CIENTÍFICOS</t>
  </si>
  <si>
    <t>machine Learning; processamento de linguagem natural; algoritmo de rede neural; algoritmo de clusterização hierárquica; patrimônio cultural</t>
  </si>
  <si>
    <t>REPRESENTAÇÃO DA INFORMAÇÃO EM MUSEUS: uma revisão sistemática em bases de dados brasileiras</t>
  </si>
  <si>
    <t>representação da informação; museus; revisão sistemática; bases de dados brasileiras; análise de conteúdo</t>
  </si>
  <si>
    <t>RISCOS E OPORTUNIDADES PARA OS USUÁRIOS DAS FINANÇAS DESCENTRALIZADAS</t>
  </si>
  <si>
    <t>Finanças Descentralizadas; DeFi; Riscos; Oportunidades; Usuários</t>
  </si>
  <si>
    <t>TERMOS EM MOVIMENTO: Dinâmica da rede temática no projeto Biblioteca Comum</t>
  </si>
  <si>
    <t>Dinâmica de Redes Temáticas; Recursos Educacionais Abertos; Projeto Biblioteca Comum</t>
  </si>
  <si>
    <t>A CURADORIA DE DADOS CIENTÍFICOS NA CIÊNCIA DA INFORMAÇÃO: LEVANTAMENTO DO CENÁRIO NACIONAL</t>
  </si>
  <si>
    <t>Curadoria Digital; Dados Científicos; e-Science; Profissional da Informação</t>
  </si>
  <si>
    <t>A QUALIDADE DA INFORMAÇÃO EM ONTOLOGIAS TEMPORAIS NO CONTEXTO DE  GERENCIAMENTO DE EMERGÊNCIAS</t>
  </si>
  <si>
    <t>Qualidade da Informação; Ontologia; Gerenciamento de Emergências; Recuperação da Informação</t>
  </si>
  <si>
    <t>ANOTAÇÃO DE DADOS PARA GERAÇÃO DE INDICADORES DE DESEMPENHO EM ORGANIZAÇÕES</t>
  </si>
  <si>
    <t>Modelos Dimensionais; Indicadores de Desempenho; KPI; Dicionário de Dados; Ontologia; Anotação Semântica</t>
  </si>
  <si>
    <t>APLICAÇÃO DE MÉTRICAS PARA DESTAQUE DE ENTIDADES NA ANÁLISE DE GRAFOS</t>
  </si>
  <si>
    <t>Lavagem de Dinheiro; Business Intelligence; Análise de Vínculos</t>
  </si>
  <si>
    <t>AUTORIDADE NACIONAL DE PROTEÇÃO DE DADOS E PRIVACIDADE</t>
  </si>
  <si>
    <t>Lei Geral de Proteção de Dados; Autoridade Nacional de Proteção de Dados; Política Nacional de Proteção de Dados e Privacidade</t>
  </si>
  <si>
    <t>CARACTERIZAÇÃO DA PRODUÇÃO CIENTÍFICA E TECNOLÓGICA DAS DOUTORAS NO BRASIL</t>
  </si>
  <si>
    <t>Mulheres na ciência; Plataforma Lattes; Produção científica e tecnológica; Gênero feminino; Bibliometria</t>
  </si>
  <si>
    <t>CLASSIFICAÇÃO AUTOMÁTICA DE TESES E DISSERTAÇÕES DA ÁREA DA CIÊNCIA DA INFORMAÇÃO SOB A ÓTICA DOS GRUPOS DE TRABALHO DA ANCIB AUTOMATIC</t>
  </si>
  <si>
    <t>Ciência da Informação; Classificação textual; Bag-of-Words; N-Gramas</t>
  </si>
  <si>
    <t>DADOS ABERTOS E SUAS APLICAÇÕES EM CIDADES INTELIGENTES</t>
  </si>
  <si>
    <t>Cidades Inteligentes; Administração Pública; Dados Abertos; Modelagem da Informação</t>
  </si>
  <si>
    <t>DADOS E METADADOS: REFLEXÕES CONCEITUAIS</t>
  </si>
  <si>
    <t>Dados; Metadados; Ciência da Informação; Dado e metadado</t>
  </si>
  <si>
    <t>EDUCAÇÃO A DISTÂNCIA E CIÊNCIA DE DADOS: DESENVOLVIMENTO DE MODELOS  PREDITIVOS NO RECONHECIMENTO DA EVASÃO ESTUDANTIL</t>
  </si>
  <si>
    <t>Evasão Estudantil; Ensino a Distância; Modelos Preditivos; Agrupamento de Dados; Ciência de Dados</t>
  </si>
  <si>
    <t>E-SCIENCE: DADOS GOVERNAMENTAIS ABERTOS À LUZ DA CIÊNCIA DA INFORMAÇÃO</t>
  </si>
  <si>
    <t>Paradigma dos dados; Dados Abertos; Ciência da Informação</t>
  </si>
  <si>
    <t>EXPLORANDO CONSULTAS SPARQL NA WIKIDATA COM PYTHON: TIPIFICAÇÃO DE  METADADOS E RECONCILIAÇÃO DE DADOS</t>
  </si>
  <si>
    <t>Wikidata; SPARQL; Reconciliação; Python</t>
  </si>
  <si>
    <t>EXTRAÇÃO DE TÓPICOS APOIADA POR TÉCNICAS DE APRENDIZADO DE MÁQUINA EM REPOSITÓRIOS DIGITAIS: UM PRINCÍPIO PARA CONSTRUÇÃO SEMIAUTOMÁTICA DE ONTOLOGIAS</t>
  </si>
  <si>
    <t>Aprendizado de Ontologia; Modelo de Tópicos; Repositórios Digitais; Latent Dirichlet Allocation; Aprendizado de Máquina</t>
  </si>
  <si>
    <t>FUSÃO DE DADOS PARA COMPREENSÃO DE FENÔMENOS AMBIENTAIS POR MEIO DE  FOTOGRAFIAS</t>
  </si>
  <si>
    <t>Fusão de dados; Metadados de imagens; Redes neurais; Fotografias</t>
  </si>
  <si>
    <t>GOOGLE DATASET SEARCH (BETA): VISÃO GERAL E PERSPECTIVAS PARA INDEXAÇÃO E DISPONIBILIZAÇÃO DE CONJUNTOS DE DADOS CIENTÍFICOS ABERTOS</t>
  </si>
  <si>
    <t>conjuntos de dados; datasets; acesso aberto; padrões de metadados; google dataset search</t>
  </si>
  <si>
    <t>O DEBATE SOBRE PRIVACIDADE NO FÓRUM DE GOVERNANÇA DA INTERNET</t>
  </si>
  <si>
    <t>privacidade; internet; segurança; vigilância; algoritmos</t>
  </si>
  <si>
    <t>O USO DA BLOKCHAIN PARA REGISTROS DE IDENTIDADE DE PESSOAS</t>
  </si>
  <si>
    <t>blockchain; privacidade; identidade; registro; dados pessoais</t>
  </si>
  <si>
    <t>ONTOLOGIAS MULTIMÍDIA: um estudo comparativo para reúso</t>
  </si>
  <si>
    <t>Ontologias Multimídia; Padrões de Metadados; Reúso de Ontologias; Descrição Multimídia</t>
  </si>
  <si>
    <t>OS ACERVOS CULTURAIS BRASILEIROS NO REPOSITÓRIO WIKIMEDIA COMMONS</t>
  </si>
  <si>
    <t>Wikimedia Commons; Instituto Brasileiro de Museus; Repositório de mídias; Acervos culturais; Instituições Culturais</t>
  </si>
  <si>
    <t>PROPOSTA DE APLICAÇÃO DA FUSÃO DE DADOS E INFORMAÇÕES NO APOIO À  PREVENÇÃO DE ACIDENTES DE TRÂNSITO NAS RODOVIAS FEDERAIS BRASILEIRAS</t>
  </si>
  <si>
    <t>Prevenção de Acidentes de Trânsito; Fusão de Dados e Informações; Rodovias Federais Brasileiras</t>
  </si>
  <si>
    <t>UMA SOLUÇÃO SEMI-AUTOMÁTICA PARA EXTRAÇÃO, TRANSFORMAÇÃO E CARGA DE DADOS ABERTOS CONECTADOS</t>
  </si>
  <si>
    <t>WORKFLOW DE AGREGAÇÃO DE DADOS: PROCESSOS PARA CRIAÇÃO DE UMA INTERFACE DE BUSCA INTEGRADA DO PATRIMÔNIO CULTURAL</t>
  </si>
  <si>
    <t xml:space="preserve"> workflow de agregação; busca integrada; patrimônio cultural; instituições culturais</t>
  </si>
  <si>
    <t>UMA ESTRATÉGIA PARA RECOMENDAÇÃO DE COLABORADORES EM REPOSITÓRIOS DE DADOS CIENTÍFICOS</t>
  </si>
  <si>
    <t>redes; colaboração científica; predição de ligações.</t>
  </si>
  <si>
    <t>UM WORKFLOW AUTOMATIZADO PARA COMPARTILHAMENTO DE DADOS CIENTÍFICOS PRIMÁRIOS BASEADO EM DADOS ABERTOS CONECTADOS</t>
  </si>
  <si>
    <t>Dados Abertos Conectados; Workflow; Workflow para Dados Abertos Conectados; Dados Primários</t>
  </si>
  <si>
    <t>Uso de software livre para disseminação e análise de dados abertos governamentais</t>
  </si>
  <si>
    <t>Softwares livres; dados abertos; data warehouse</t>
  </si>
  <si>
    <t>UMA REVISÃO PRELIMINAR SOBRE A DIFUSÃO DE DADOS CONECTADOS NO ÂMBITO EMPRESARIAL</t>
  </si>
  <si>
    <t>Empresa; Dados Conectados; Fatores de Impacto</t>
  </si>
  <si>
    <t>UM ESTUDO DOS CICLOS DE VIDA DE DADOS ABERTOS CONECTADOS</t>
  </si>
  <si>
    <t>Dados; Ciclo de Vida; Dados Conectados Abertos</t>
  </si>
  <si>
    <t>CONSTRUÇÃO COLABORATIVA DE REPRESENTAÇÕES PARA A DISSEMINAÇÃO DE DADOS AGRÍCOLAS: Um estudo no Portal CoDAF</t>
  </si>
  <si>
    <t>Fonte de dados; Acesso a dados; Ciclo de Vida dos Dados; Portal CoDAF; Dados agrícolas</t>
  </si>
  <si>
    <t>PROPOSTA DE ARQUITETURA DE MICROSSERVIÇOS PARA UM SISTEMA DE CRM SOCIAL</t>
  </si>
  <si>
    <t xml:space="preserve">CRM Social; Web 2.0; Inteligência Competitiva; Microsserviços </t>
  </si>
  <si>
    <t>MODELO DE ATUALIZAÇÃO DE BASES DE CONHECIMENTO: um estudo de caso ONTO-AmazonTimber</t>
  </si>
  <si>
    <t>Gestão do Conhecimento; Ontologia; Atualização de conhecimento; ONTO-AmazonTimber</t>
  </si>
  <si>
    <t>Desenvolvimento de Ontologia Ciente de Qualidade de Informações para a Melhoria de Consciência Situacional no Domínio de Gerenciamento de Emergências</t>
  </si>
  <si>
    <t>Consciência Situacional; Ontologia; Gerenciamento de Emergência; Qualidade de dados</t>
  </si>
  <si>
    <t xml:space="preserve">ANÁLISE QUANTITATIVA DE EVENTOS CRIMINAIS UTILIZANDO ABORDAGEM SEMÂNTICA
</t>
  </si>
  <si>
    <t>Consciência Situacional; Ontologia; Análise Quantitativa; Gerenciamento de Riscos</t>
  </si>
  <si>
    <t>O PAPEL ESTRATÉGICO DA WEB SEMÂNTICA NO CONTEXTO DO BIG DATA</t>
  </si>
  <si>
    <t>Web Semântica; Big Data; Tecnologias da Web Semântica</t>
  </si>
  <si>
    <t>Data Visualization of the Brazilian National High School Exam: VisDadosEnem</t>
  </si>
  <si>
    <t>Visualização da Informação; Ciência dos Dados; Dados Abertos; Educação</t>
  </si>
  <si>
    <t>Visualização de Informações de Variação de Incidência Criminal em Sistema Orienatado à Obtenção de Consciência Situaciona</t>
  </si>
  <si>
    <t>Visualização de informações; consciência situacional; cenário criminal</t>
  </si>
  <si>
    <t>ASPECTOS DE EXPERIÊNCIA DE USUÁRIO NO PORTAL WIKICI</t>
  </si>
  <si>
    <t>Ciência da Informação; Arquitetura da Informação; Wiki; Experiência de Usuário; UX</t>
  </si>
  <si>
    <t>PLANO DE GERENCIAMENTO DE DADOS NO CONTEXTO DOS REPOSITÓRIOS DE DADOS DE UNIVERSIDADES</t>
  </si>
  <si>
    <t>Plano de Gerenciamento de Dados; Gestão de dados; Dados científicos; Repositório de dados</t>
  </si>
  <si>
    <t>REPOSITÓRIO DE DADOS CIENTÍFICOS: aspectos sobre privacidade de dados</t>
  </si>
  <si>
    <t>Repositório de dados; Privacidade de dados; Anonimização de dados</t>
  </si>
  <si>
    <t>REQUISITOS DE SEGURANÇA PARA PROVEDORES DE SERVIÇOS EM NUVEM DE ACORDO COM A NORMA ISO 27017</t>
  </si>
  <si>
    <t>Big data; Serviços em nuvem; Segurança da Informação; ISO 27017</t>
  </si>
  <si>
    <t>Arquitetura da Informação e a Sintaxe das Linguagens Imagéticas no Website Guia Gay Floripa</t>
  </si>
  <si>
    <t>Arquitetura da Informação; Linguagens imagéticas; Website Guia Gay Floripa; Disponibilização da informação; Uso inteligente da informação</t>
  </si>
  <si>
    <t xml:space="preserve">RECUPERAÇÃO DA INFORMAÇÃO POR TÉCNICA WEBOMÉTRICA: Análise das menções web dos partidos políticos com representação no Senado Federal </t>
  </si>
  <si>
    <t xml:space="preserve"> Recuperação da Informação; Webometria; Menção web; Correlação Linear; Partidos Políticos</t>
  </si>
  <si>
    <t>O silêncio dos dados diz muito, basta prestar atenção: breves experimentos sobre análise exploratória visual</t>
  </si>
  <si>
    <t>Análise exploratória visual; grafos; dados abertos</t>
  </si>
  <si>
    <t>Triagem automatizada de relatórios de inteligência financeira</t>
  </si>
  <si>
    <t>Lavagem de Dinheiro; Inteligência Artificial; Aprendizado de Máquina</t>
  </si>
  <si>
    <t>Coleta e integração de dados científicos para análises sobre a produção científica brasileiraem periódicos de acesso aberto</t>
  </si>
  <si>
    <t>Acesso Aberto; Plataforma Lattes; Produção Científica</t>
  </si>
  <si>
    <t>Transformação digital e a gestão do conhecimento: relações na produção cientifica</t>
  </si>
  <si>
    <t>Transformação  Digital;  Gestão  do  Conhecimento;  Informetria;  In-dústria 4.0</t>
  </si>
  <si>
    <t>Dados de formação acadêmica como fonte para análises do processo de migração para capacitação</t>
  </si>
  <si>
    <t>plataforma lattes; êxodo científico brasileiro; análise de dados</t>
  </si>
  <si>
    <t>Extração de datasets em marketplacesde anúncios: experiências com Facebook,Olx e Mercadolivre</t>
  </si>
  <si>
    <t>Datasets; Python; Ecommerce; Marketplaces; Anúncios</t>
  </si>
  <si>
    <t>Um processo para a identificação e análisesde artigos científicos em anais de congressos</t>
  </si>
  <si>
    <t xml:space="preserve"> produção científica; eventos; anais; plataforma lattes</t>
  </si>
  <si>
    <t>Política de privacidade de dados: observações relevantes para sua implementação</t>
  </si>
  <si>
    <t>Direitos fundamentais; Privacidade; Proteção de dados; Política de privacidade; Dados pessoais</t>
  </si>
  <si>
    <t>Análise dos fatores que influenciamo desempenho de um modelo de previsãode demanda de energia</t>
  </si>
  <si>
    <t>Aprendizagem máquina; Redes neurais artificiais; Previsão de de-manda</t>
  </si>
  <si>
    <t>Comunicação científica rápida em tempos de pandemia: a atenção online de preprintssobre Covid-19</t>
  </si>
  <si>
    <t>Comunicação Científica; Preprint; Altmetria; Covid-19</t>
  </si>
  <si>
    <t>Gestão de dados científicos: produção e impacto a partir de dados da base Dimensions</t>
  </si>
  <si>
    <t xml:space="preserve"> gestão de dados científicos; bibliometria; produção científica; ciência aberta</t>
  </si>
  <si>
    <t>Repositórios abertos digitais: avaliação da confiabilidade com base nos critériosda ISO 16363</t>
  </si>
  <si>
    <t>repositórios digitais confiáveis; preservação digital; ISO 16363</t>
  </si>
  <si>
    <t>Privacidade de dados: Uma discussão à luzdos paradigmas da Ciência da Informação</t>
  </si>
  <si>
    <t>Privacidade; Proteção de dados; Paradigmas da Ciência da Informação</t>
  </si>
  <si>
    <t>Modelos de ensino e aprendizagemde ciência de dados: em foco a área da Ciênciada Informação</t>
  </si>
  <si>
    <t>ciência de dados; ensino e aprendizagem; modelos de currículo</t>
  </si>
  <si>
    <t>Ciência de dados na educação: contribuições interdisciplinares</t>
  </si>
  <si>
    <t>ciência de dados; educação; aprendizado de máquina; ciência da in-formação; interdisciplinaridade</t>
  </si>
  <si>
    <t>Padrões de qualidade para dados e metadados endereçados a aplicações em ciência de dados</t>
  </si>
  <si>
    <t>Bases  de  Dados  em  Rede;  Metadados;  Qualidade  de  Metadados;  Ciência de Dados; Ciência da Informação</t>
  </si>
  <si>
    <t>Coleta de dados para agregação de repositórios digitais: Entidades vinculadas à Secretaria Especial de Cultura do Brasil</t>
  </si>
  <si>
    <t>Ciência de dados; Ciência da Informação; Repositórios digitais; Instituições culturais; Reuso</t>
  </si>
  <si>
    <t>Mapeamento de metadados no Tainacan: nova funcionalidade para os museus digitais vinculados ao Instituto Brasileiro de Museus</t>
  </si>
  <si>
    <t>Tainacan; Brasiliana Museus; Agregação; Mapeamento; Interoperabilidade</t>
  </si>
  <si>
    <t>Sistemas de informação em saúde: proposta de um método de gerenciamento de dadosde proveniência no instanciamento do modelo W3C PROV-DM</t>
  </si>
  <si>
    <t>Sistemas de Informação em Saúde; Proveniência de Dados; Geren-ciamento de Dados de Proveniência; W3C PROV-DM; Método</t>
  </si>
  <si>
    <t>Análise comportamental dos indicadores relacionados com os perfis de usuários da plataforma Mettzer</t>
  </si>
  <si>
    <t xml:space="preserve"> Análise  de  dados;  Análise  comportamental;  Indicadores;  Mettzer;  Perfil de usuário</t>
  </si>
  <si>
    <t>Uma estratégia para coleta, integração e tratamento de dados científicos no contexto do BrCris</t>
  </si>
  <si>
    <t>Produção Científica; BrCris; Plataforma Lattes</t>
  </si>
  <si>
    <t>Suporte à gestão de dados de pesquisa nas bibliotecas: identificação de serviços a partir da literatura</t>
  </si>
  <si>
    <t>Dados de pesquisa; Gestão de dados de pesquisa; Bibliotecas; Serviços</t>
  </si>
  <si>
    <t>REVOLUÇÃO CIENTÍFICA? Reflexões para uma teoria crítica da ciência dos dados</t>
  </si>
  <si>
    <t>e-Science; big data; epistemologia</t>
  </si>
  <si>
    <t>REPOSITÓRIOS DE DADOS DE PESQUISA: INVESTIGANDO SUA ADOÇÃO NOS INSTITUTOS BRASILEIROS DE PESQUISA</t>
  </si>
  <si>
    <t>Repositório de dados científicos; Instituições brasileiras de pesquisa; Gestão de dados de pesquisa</t>
  </si>
  <si>
    <t>RECONHECIMENTO DE ENTIDADES NOMEADAS EM RELATÓRIOS DE INTELIGÊNCIA FINANCEIRA</t>
  </si>
  <si>
    <t>Reconhecimento de Entidades Nomeadas; Mineração de Texto; Relatório de Inteligência Financeira; Processamento de Linguagem Natura</t>
  </si>
  <si>
    <t>Padrões de metadados para descrição de dados: panorama dos repositórios de dados na América Latina</t>
  </si>
  <si>
    <t>Descrição de conjuntos de dados; Metadados; Repositório de dados</t>
  </si>
  <si>
    <t>O termo Big Data: quebra de paradigma dos n-V’s</t>
  </si>
  <si>
    <t>Big Data; conceito; viabilidade; venalidade; n-V’s</t>
  </si>
  <si>
    <t>O ensino da E-Science no âmbito dos Programas Brasileiros de Pós-Graduação em Ciência da Informação</t>
  </si>
  <si>
    <t>e-Science; Ciência da Informação; Pós-Graduação em Ciência da Informação</t>
  </si>
  <si>
    <t>Narrativas de visuaizações guiadas por dados: Big Data e inovação</t>
  </si>
  <si>
    <t>Visualização de dados; Narrativas; Dados; Big Data</t>
  </si>
  <si>
    <t>Letreiros e amores: uma estratégia informacional para existir no Instagram</t>
  </si>
  <si>
    <t>letreiros de cidade; informação; Instagram; fotografia</t>
  </si>
  <si>
    <t>Identificação de Entidades Destaque para a Melhoria da Análise de Vínculos</t>
  </si>
  <si>
    <t>Lavagem de Dinheiro; Interpostas Pessoas; Grafos</t>
  </si>
  <si>
    <t>Humanidades Digitales: visualização da produção científica</t>
  </si>
  <si>
    <t>humanidades digitais; visualização de dados; análise métrica da produção científica</t>
  </si>
  <si>
    <t>Gestão de dados da Biodiversidade: aplicação do padrão de metadados Darwin Core</t>
  </si>
  <si>
    <t>Gestão de dados de pesquisa; Metadados; Darwin Core</t>
  </si>
  <si>
    <t>Evasão Estudantil e Ciência de Dados: primeiros passos de uma pesquisa aplicada no contexto da Educação a Distância da Universidade Estadual do Centro-Oeste</t>
  </si>
  <si>
    <t>Ciência de Dados; Educação à Distância; Evasão Estudantil; MOODLE; Ambientes Virtu_x0002_ais de Aprendizagem</t>
  </si>
  <si>
    <t>Direito Autoral + Creative Commons: uma solução para a academia na Sociedade da Informação?</t>
  </si>
  <si>
    <t xml:space="preserve"> Direito Autoral; Creative Commons; Sociedade da Informação</t>
  </si>
  <si>
    <t>Design Audiovisual Para Sistemas Generativos: Um experimento de construção audiovisual personalizadas</t>
  </si>
  <si>
    <t>Design Audiovisual; generativo; personalização</t>
  </si>
  <si>
    <t>Desafios Tecnológicos no processo de recepção normativa: adequação e conformidade na perspectiva da Lei de Proteção de Dados Pessoais</t>
  </si>
  <si>
    <t>Lei de Proteção de Dados Pessoais; Privacidade; Inovação; Política Nacional de Ciência; Tecnologia e Inovação</t>
  </si>
  <si>
    <t>As licenças Creative Commons e Software Livre como formas de proteção na sociedade da informação compartilhada</t>
  </si>
  <si>
    <t>Licenças; Creative Commons; Software Livre; Sociedade da Informação</t>
  </si>
  <si>
    <t>Arbovis: Uma aplicação de visualização de dados sobre Arboviroses</t>
  </si>
  <si>
    <t>arboviroses; análise de dados; visualização de dados; aplicação web</t>
  </si>
  <si>
    <t>Análise de sentimentos: Identificando sentimentos em comentários da Rede Humaniza SUS</t>
  </si>
  <si>
    <t>Rede Humaniza SUS; Análise de Sentimentos; Léxico de Sentimentos;Processamento de Linguagem Natural</t>
  </si>
  <si>
    <t>Análise da relação entre perfil e desempenho acadêmico dos alunos matriculados na Disciplina de Introdução à Programação utilizando algoritmos de classificação</t>
  </si>
  <si>
    <t>programação; evasão; reprovação; mineração de dados</t>
  </si>
  <si>
    <t>A Ciência de Dados à luz da Ciência do Senso Comum Aristotélico: uma análise comparativa com a tecnologia sensorial</t>
  </si>
  <si>
    <t>Ciência de dados;  Filosofia;  Tecnologia sensorial</t>
  </si>
  <si>
    <t>Aspectos do ciclo de vida de dados em processos de construção de ontologias biomédicas</t>
  </si>
  <si>
    <t>Ontologias biomédicas; ciclo de vida de dados; plano de gestão de dados; representação  do conhecimento</t>
  </si>
  <si>
    <t>Direito fundamental à privacidade no Brasil: Tendências</t>
  </si>
  <si>
    <t>privacidade; liberdade de expressão; panoptismo</t>
  </si>
  <si>
    <t>Informação e Privacidade na Lei Geral de Proteção de Dados</t>
  </si>
  <si>
    <t>Informação; Privacidade; Lei Geral de Proteção de Dados Pessoais</t>
  </si>
  <si>
    <t>O papel dos metadados na curadoria digital</t>
  </si>
  <si>
    <t>Metadados; Curadoria Digital; Preservação Digital</t>
  </si>
  <si>
    <t>Proteção autoral de dados: uso de Blockchain</t>
  </si>
  <si>
    <t>Direitos autorais; Blockchain; Propriedade intelectual; Dados</t>
  </si>
  <si>
    <t>Tecnologia Blockchain: Um Novo Paradigma no Ciclo de Vida dos Dados</t>
  </si>
  <si>
    <t>Tecnologia Blockchain; Ciências Abertas; Ciclo de Vida dos Dados</t>
  </si>
  <si>
    <t>Ciência Aberta: o papel dos metadados na descoberta de conhecimento</t>
  </si>
  <si>
    <t>ciência aberta</t>
  </si>
  <si>
    <t>metadados</t>
  </si>
  <si>
    <t>descoberta de conhecimento</t>
  </si>
  <si>
    <t>Integração de dados baseada em ontologias</t>
  </si>
  <si>
    <t>ontologia</t>
  </si>
  <si>
    <t>Curadoria digital e dados de pesquisa</t>
  </si>
  <si>
    <t>curadoria digital</t>
  </si>
  <si>
    <t>dados de pesquisa</t>
  </si>
  <si>
    <t>Infraestrutura brasileira para dados de pesquisa: reflexões</t>
  </si>
  <si>
    <t>infraestrutura</t>
  </si>
  <si>
    <t>Text Mining: o uso de dados não-estruturados como insumo para extração de inteligência</t>
  </si>
  <si>
    <t>mineração de texto</t>
  </si>
  <si>
    <t>dados não-estruturados</t>
  </si>
  <si>
    <t>extração de inteligência</t>
  </si>
  <si>
    <t>O papel do bibliotecário no processo de recuperação da informação</t>
  </si>
  <si>
    <t>Recuperação da informação; Papel do bibliotecário; Usuário</t>
  </si>
  <si>
    <t>A Gestão dos dados de pesquisa no contexto dos pesquisadores brasileiros na CI</t>
  </si>
  <si>
    <t>gestão de dados</t>
  </si>
  <si>
    <t>pesquisadores brasileiros</t>
  </si>
  <si>
    <t>ciência da informação</t>
  </si>
  <si>
    <t>Dados de pesquisa e o profissional da informação</t>
  </si>
  <si>
    <t>profissional da informação</t>
  </si>
  <si>
    <t>A Ciência da Informação e os dados de pesquisa</t>
  </si>
  <si>
    <t>A questão da identidade da CI frente aos cenários apresentados do paradigma dos dados</t>
  </si>
  <si>
    <t>identidade da ci</t>
  </si>
  <si>
    <t>paradigma de dados</t>
  </si>
  <si>
    <t>A emergência dos dados de pesquisa na ciência contemporânea</t>
  </si>
  <si>
    <t>ciência contemporêanea</t>
  </si>
  <si>
    <t>Os princípios FAIR como diretrizes para maximizar o uso e (re)uso dos dados de pesquisa: Traçando um paralelo com a gestão de documentos arquivísticos digitais</t>
  </si>
  <si>
    <t>Princípios FAIR; Gestão de dados de pesquisa; Gestão de Documentos Arquivísticos Digitas</t>
  </si>
  <si>
    <t>Práticas de gestão de dados: Uma revisão da literatura sobre o termo Data Life Cycle</t>
  </si>
  <si>
    <t>Big data; Ciência da informação; Ciclo de vida dos dados; Gestão de dados científicos</t>
  </si>
  <si>
    <t>Metas, ações e indicadores como subsídios para análise da qualidade de dados: Uma inversão necessária entre consequentes e antecedentes</t>
  </si>
  <si>
    <t>Governança corporativa; Governança de TI; Qualidade de dados; Planejamento estratégico</t>
  </si>
  <si>
    <t>Previsões de ausência em cuidados especializados em Unidades de Saúde Pública de Florianópolis</t>
  </si>
  <si>
    <t>Absenteísmo; Consultas médicas especializadas; Faltas preditivas; Unidades de Saúde Pública de Florianópolis</t>
  </si>
  <si>
    <t>A construção do repositório de dados da UFPB: A experiência com o dataset de Arboviroses</t>
  </si>
  <si>
    <t>Repositório de Dados; Dataverse; Dataset Arboviroses; Curadoria de Dados; Ciência Aberta</t>
  </si>
  <si>
    <t>Pornografia infantil: Análise de Manuais de Pedofilia</t>
  </si>
  <si>
    <t>Pornografia Infantil; Sociedade da Informação; Prevenção</t>
  </si>
  <si>
    <t>A Ciência da Informação e a educação em gestão e curadoria de dados de pesquisa</t>
  </si>
  <si>
    <t>Ciência da Informação – Educação; Especialistas em dados de pesquisa; Competência em dados de pesquisa; Gestão de dados de pesquisa; Curadoria digital</t>
  </si>
  <si>
    <t>Política de compartilhamento de dados científicos: A adoção nos periódicos da Ciência da Informação</t>
  </si>
  <si>
    <t>Política de compartilhamento de dados; Periódicos; Ciência da informação</t>
  </si>
  <si>
    <t>Métodos multicritérios para auxiliar o processo de tomada de decisão sobre empreendimentos imobiliários utilizando modelos BIM</t>
  </si>
  <si>
    <t>Métodos Multicritérios; Analytic Hierarchy Process (AHP); Modelagem de Informações da Construção; Building Information Modeling (BIM)</t>
  </si>
  <si>
    <t>Web Scraping do ResearchID: proposta de sistema para o monitoramento de Índice H de pesquisadores no Brasil</t>
  </si>
  <si>
    <t>Dados de Citação; ResearcherID; Índice H; Web Scraping</t>
  </si>
  <si>
    <t>A disseminação de informações associadas a epidemia do Zika Vírus: Uma pesquisa a partir de dados coletados no Twitter</t>
  </si>
  <si>
    <t>Twitter; Disseminação de dados; Zika vírus</t>
  </si>
  <si>
    <t>Ciência Aberta: os desafios para concepção da ciência cidadã</t>
  </si>
  <si>
    <t>Ciência aberta; Ciência cidadã; acesso aberto; dados abertos; participação cidadã</t>
  </si>
  <si>
    <t>Metadados e Twitter: uso do Tweet Object para identificação de local</t>
  </si>
  <si>
    <t>Disseminação de dados; Geolocalização; Tweet Object; Twitter</t>
  </si>
  <si>
    <t>MPPB: a prestação de serviços ao cidadão através da disponibilização de dados</t>
  </si>
  <si>
    <t>prestação serviço cidadão</t>
  </si>
  <si>
    <t>disseminação de dados</t>
  </si>
  <si>
    <t>ano</t>
  </si>
  <si>
    <t>autor</t>
  </si>
  <si>
    <t>instituicao</t>
  </si>
  <si>
    <t>cidade</t>
  </si>
  <si>
    <t>estado</t>
  </si>
  <si>
    <t>pais</t>
  </si>
  <si>
    <t>aadfne2022</t>
  </si>
  <si>
    <t>Fabio Castro Gouveia</t>
  </si>
  <si>
    <t>UFRJ</t>
  </si>
  <si>
    <t>Rio de Janeiro</t>
  </si>
  <si>
    <t>RJ</t>
  </si>
  <si>
    <t>Brasil</t>
  </si>
  <si>
    <t>Skrol Salustiano</t>
  </si>
  <si>
    <t>adrdcd2022</t>
  </si>
  <si>
    <t>Fernanda Silva Coimbra</t>
  </si>
  <si>
    <t>Belo Horizonte</t>
  </si>
  <si>
    <t>MG</t>
  </si>
  <si>
    <t>Ronaldo Ferreira de Araújo</t>
  </si>
  <si>
    <t>UFAL</t>
  </si>
  <si>
    <t>Maceió</t>
  </si>
  <si>
    <t>AL</t>
  </si>
  <si>
    <t>Thiago Magela Rodrigues Dias</t>
  </si>
  <si>
    <t>ai4sop2022</t>
  </si>
  <si>
    <t>Jacqueline Zonichenn Reis</t>
  </si>
  <si>
    <t>UNIP</t>
  </si>
  <si>
    <t>São Paulo</t>
  </si>
  <si>
    <t>SP</t>
  </si>
  <si>
    <t>ardodc2022</t>
  </si>
  <si>
    <t>Ana Cristina de Albuquerque</t>
  </si>
  <si>
    <t>UEL</t>
  </si>
  <si>
    <t>Londrina</t>
  </si>
  <si>
    <t>PR</t>
  </si>
  <si>
    <t>Ania Rosa Hernandez Quintana</t>
  </si>
  <si>
    <t>Universidad de La Habana</t>
  </si>
  <si>
    <t>Havana</t>
  </si>
  <si>
    <t>-</t>
  </si>
  <si>
    <t>Cuba</t>
  </si>
  <si>
    <t>Marcos Antonio de Moraes</t>
  </si>
  <si>
    <t>awsanr2022</t>
  </si>
  <si>
    <t>Alessandra Monteiro Pattuzzo Caetano</t>
  </si>
  <si>
    <t>Vitória</t>
  </si>
  <si>
    <t>ES</t>
  </si>
  <si>
    <t>Henrique Monteiro Cristovão</t>
  </si>
  <si>
    <t>Stella Schwanz Dias de Assis</t>
  </si>
  <si>
    <t>bmtfda2022</t>
  </si>
  <si>
    <t>Dalton Lopes Martins</t>
  </si>
  <si>
    <t>Brasília</t>
  </si>
  <si>
    <t>DF</t>
  </si>
  <si>
    <t>Joyce Siqueira</t>
  </si>
  <si>
    <t>Vinícius Nunes Medeiros</t>
  </si>
  <si>
    <t>Tainacan.org</t>
  </si>
  <si>
    <t>cadapn2022</t>
  </si>
  <si>
    <t>Fábio Parra Furlanete</t>
  </si>
  <si>
    <t>José Eduardo Santarém Segundo</t>
  </si>
  <si>
    <t>USP</t>
  </si>
  <si>
    <t>Liliane Cristina Soares Sousa</t>
  </si>
  <si>
    <t>cddurd2022</t>
  </si>
  <si>
    <t>Aurea Celeste Pires de Souza</t>
  </si>
  <si>
    <t>Clarice Luzia Casoni</t>
  </si>
  <si>
    <t>José Eduardo Santarem Segundo</t>
  </si>
  <si>
    <t>Merabe Carvalho Ferreira da Gama</t>
  </si>
  <si>
    <t>cecdvb2022</t>
  </si>
  <si>
    <t>Ana Clara Cândido</t>
  </si>
  <si>
    <t>Florianópolis</t>
  </si>
  <si>
    <t>SC</t>
  </si>
  <si>
    <t>Nathalia Berger Werlang</t>
  </si>
  <si>
    <t>Priscila Machado Borges Sena</t>
  </si>
  <si>
    <t>IBICT</t>
  </si>
  <si>
    <t>cinddc2022</t>
  </si>
  <si>
    <t>Gercina Ângela de Lima</t>
  </si>
  <si>
    <t>UFMG</t>
  </si>
  <si>
    <t>Rafael Rocha</t>
  </si>
  <si>
    <t>daràmi2022</t>
  </si>
  <si>
    <t>Diego José Macedo</t>
  </si>
  <si>
    <t>Maison Roberto M. Gonçalves</t>
  </si>
  <si>
    <t>Milton Shintaku</t>
  </si>
  <si>
    <t>Rosilene Paiva Marinho de Sousa</t>
  </si>
  <si>
    <t>ddcaàb2022</t>
  </si>
  <si>
    <t>Lucas Vale</t>
  </si>
  <si>
    <t>ddfure2022</t>
  </si>
  <si>
    <t>Alexandre Rodrigues Loureiros</t>
  </si>
  <si>
    <t>Flávio Varejão</t>
  </si>
  <si>
    <t>Igor Varejão</t>
  </si>
  <si>
    <t>Thiago Olivera dos Santos</t>
  </si>
  <si>
    <t>ddreeb2022</t>
  </si>
  <si>
    <t>Daniela Lucas da Silva Lemos</t>
  </si>
  <si>
    <t>Juliana Rodrigues de Lima Meirelles</t>
  </si>
  <si>
    <t>ddvdfd2022</t>
  </si>
  <si>
    <t>Flávio Miguel Varejão</t>
  </si>
  <si>
    <t>Jordana Lucia Reis</t>
  </si>
  <si>
    <t>hfbewp2022</t>
  </si>
  <si>
    <t>Alexandre Augusto Gimenes Marquez Filho</t>
  </si>
  <si>
    <t>Douglas Dyllon Jeronimo de Macedo</t>
  </si>
  <si>
    <t>Márcio José Sembay</t>
  </si>
  <si>
    <t>idaàlg2022</t>
  </si>
  <si>
    <t>Giovanni Comarela</t>
  </si>
  <si>
    <t>Leandro Furlam Turi</t>
  </si>
  <si>
    <t>iuppob2022</t>
  </si>
  <si>
    <t>Ítalo Barbosa Brasileiro</t>
  </si>
  <si>
    <t>ldeann2022</t>
  </si>
  <si>
    <t>Meri Nadia Marques Gerlin</t>
  </si>
  <si>
    <t>máncdi2022</t>
  </si>
  <si>
    <t>Patrícia Nascimento Silva</t>
  </si>
  <si>
    <t>mdphmd2022</t>
  </si>
  <si>
    <t>Ívina Flores Melo</t>
  </si>
  <si>
    <t>Tatiana Canelhas</t>
  </si>
  <si>
    <t>Tiago Emmanuel Nunes Braga</t>
  </si>
  <si>
    <t>mpceaa2022</t>
  </si>
  <si>
    <t>Aline Cristina Gomes Ramos</t>
  </si>
  <si>
    <t>FGV</t>
  </si>
  <si>
    <t>ododac2022</t>
  </si>
  <si>
    <t>Viviane Bessa Lopes Alvarenga</t>
  </si>
  <si>
    <t>pcecdi2022</t>
  </si>
  <si>
    <t>Patrícia Ofélia Pereira de Almeida</t>
  </si>
  <si>
    <t>Patrick Stacy Meyer</t>
  </si>
  <si>
    <t>pcfddp2022</t>
  </si>
  <si>
    <t>Raulivan Rodrigo da Silva</t>
  </si>
  <si>
    <t>pdcevu2022</t>
  </si>
  <si>
    <t>Jorge Mateu Mahiques</t>
  </si>
  <si>
    <t>Universitat Jaume I</t>
  </si>
  <si>
    <t>Castellón</t>
  </si>
  <si>
    <t>Espanha</t>
  </si>
  <si>
    <t>Luís Eduardo Freire da Câmara</t>
  </si>
  <si>
    <t>pdlnem2022</t>
  </si>
  <si>
    <t>Ananda Fernanda de Jesus</t>
  </si>
  <si>
    <t>UNESP</t>
  </si>
  <si>
    <t>Marília</t>
  </si>
  <si>
    <t>(no artigo  está como UNESP)</t>
  </si>
  <si>
    <t>Maria Lígia Triques</t>
  </si>
  <si>
    <t>ppaead2022</t>
  </si>
  <si>
    <t>Adilson Luiz Pinto</t>
  </si>
  <si>
    <t>Tales Henrique José Moreira</t>
  </si>
  <si>
    <t>Viviam dos Santos Silva</t>
  </si>
  <si>
    <t>Washington Luís Ribeiro de Carvalho Segundo</t>
  </si>
  <si>
    <t>psfemo2022</t>
  </si>
  <si>
    <t>Evaldo de Oliveira da Silva</t>
  </si>
  <si>
    <t>Marcello Peixoto Bax</t>
  </si>
  <si>
    <t>Yuri Bento Marques</t>
  </si>
  <si>
    <t>qdrdde2022</t>
  </si>
  <si>
    <t>Bianca Amaro de Melo</t>
  </si>
  <si>
    <t>Juliana Araujo Gomes de Sousa</t>
  </si>
  <si>
    <t>Tatyane Guedes Martins da Silva</t>
  </si>
  <si>
    <t>rdddpc2022</t>
  </si>
  <si>
    <t>Ana Carolina Simionato Arakaki</t>
  </si>
  <si>
    <t>UFSCAR</t>
  </si>
  <si>
    <t>São Carlos</t>
  </si>
  <si>
    <t>Beatriz Mantovani Avancini de Jesus</t>
  </si>
  <si>
    <t>Letícia Guarany Bonetti</t>
  </si>
  <si>
    <t>Nádia Elôina Barcelos Fraga</t>
  </si>
  <si>
    <t>rdiemu2022</t>
  </si>
  <si>
    <t>Bruna Stefane de Freitas</t>
  </si>
  <si>
    <t>Kris Ellen das Neves Teixeira</t>
  </si>
  <si>
    <t>Luísa Vernersbach Varejão</t>
  </si>
  <si>
    <t>Silvana Pires Rocha Nogueira</t>
  </si>
  <si>
    <t>reopou2022</t>
  </si>
  <si>
    <t>Fábio Cossenzo</t>
  </si>
  <si>
    <t>PUC-MG</t>
  </si>
  <si>
    <t>tdieac2022</t>
  </si>
  <si>
    <t>Abeil Coelho Júnior</t>
  </si>
  <si>
    <t>temddr2022</t>
  </si>
  <si>
    <t>Benjamin Luiz Franklin</t>
  </si>
  <si>
    <t>vddanc2022</t>
  </si>
  <si>
    <t>Benildes Coura Moreira dos Santos Maculan</t>
  </si>
  <si>
    <t>Francis Bento Marques</t>
  </si>
  <si>
    <t>Renato Rocha Souza</t>
  </si>
  <si>
    <t>acddcn2019</t>
  </si>
  <si>
    <t>Liliane Chaves de Resende</t>
  </si>
  <si>
    <t>wdaddp2019</t>
  </si>
  <si>
    <t>UNB</t>
  </si>
  <si>
    <t>usspet2019</t>
  </si>
  <si>
    <t>Sérgio Souza Costa</t>
  </si>
  <si>
    <t>UFMA</t>
  </si>
  <si>
    <t>São Luís</t>
  </si>
  <si>
    <t>MA</t>
  </si>
  <si>
    <t>Mateus Vitor Duarte Sousa</t>
  </si>
  <si>
    <t>Micael Lopes da Silva</t>
  </si>
  <si>
    <t>Eddye Cândido de Oliveira</t>
  </si>
  <si>
    <t>José Victor Meireles Guimarães</t>
  </si>
  <si>
    <t>ueprdc2019</t>
  </si>
  <si>
    <t>Felipe Affonso</t>
  </si>
  <si>
    <t>Monique de Oliveira Santiago</t>
  </si>
  <si>
    <t>pdadfd2019</t>
  </si>
  <si>
    <t>Jordan Ferreira Saran</t>
  </si>
  <si>
    <t>Ronnie Shida Marinho</t>
  </si>
  <si>
    <t>Clayton Martins Pereira</t>
  </si>
  <si>
    <t>Leonardo Castro Botega</t>
  </si>
  <si>
    <t>Ribeirão Preto</t>
  </si>
  <si>
    <t>oacbnr2019</t>
  </si>
  <si>
    <t>Danielle do Carmo</t>
  </si>
  <si>
    <t>UFG</t>
  </si>
  <si>
    <t>Goiânia</t>
  </si>
  <si>
    <t>GO</t>
  </si>
  <si>
    <t>omuecp2019</t>
  </si>
  <si>
    <t>oudbpr2019</t>
  </si>
  <si>
    <t>José Antonio Maurilio Milagre</t>
  </si>
  <si>
    <t>UESP</t>
  </si>
  <si>
    <t>gds(vg2019</t>
  </si>
  <si>
    <t>Eduardo Diniz Amaral</t>
  </si>
  <si>
    <t>UNIMONTES</t>
  </si>
  <si>
    <t>Montes Claros</t>
  </si>
  <si>
    <t>fddpcd2019</t>
  </si>
  <si>
    <t>Danilo Camargo Dias</t>
  </si>
  <si>
    <t>Danilo Dolc</t>
  </si>
  <si>
    <t>Isaque Katahira</t>
  </si>
  <si>
    <t>Mariângela Spotti Lopes Fujita</t>
  </si>
  <si>
    <t>edtapt2019</t>
  </si>
  <si>
    <t>Fabio Piola Navarro</t>
  </si>
  <si>
    <t>ecsnwc2019</t>
  </si>
  <si>
    <t>Luis Felipe Rosa de Oliveira</t>
  </si>
  <si>
    <t>edgaàl2019</t>
  </si>
  <si>
    <t>Luiz Gustavo de Sena Brandão Pessoa</t>
  </si>
  <si>
    <t>Tereza Ludimila de Castro Cardoso</t>
  </si>
  <si>
    <t>Marckson Roberto Ferreira de Sousa</t>
  </si>
  <si>
    <t>eadecd2019</t>
  </si>
  <si>
    <t>Paulo R. V. do Carmo</t>
  </si>
  <si>
    <t>Unicentro</t>
  </si>
  <si>
    <t>Guarapuava</t>
  </si>
  <si>
    <t>Alan H. Costa</t>
  </si>
  <si>
    <t>Sandro Rautenberg</t>
  </si>
  <si>
    <t>Maria A. C. Knüppel</t>
  </si>
  <si>
    <t>Marta C. R. Anciutti</t>
  </si>
  <si>
    <t>demrc2019</t>
  </si>
  <si>
    <t>Felipe Augusto Arakaki</t>
  </si>
  <si>
    <t>UFSCar</t>
  </si>
  <si>
    <t>daesae2019</t>
  </si>
  <si>
    <t>Izabella Bauer de Assis Cunha</t>
  </si>
  <si>
    <t>Frederico Cesar Mafra Pereira</t>
  </si>
  <si>
    <t>UNA</t>
  </si>
  <si>
    <t>Renata Maria Abrantes Baracho</t>
  </si>
  <si>
    <t>cadted2019</t>
  </si>
  <si>
    <t>André Fabiano Dyck</t>
  </si>
  <si>
    <t>Moisés Lima Dutra</t>
  </si>
  <si>
    <t>Angel Freddy Godoy Viera</t>
  </si>
  <si>
    <t>cdpcet2019</t>
  </si>
  <si>
    <t>andpdd2019</t>
  </si>
  <si>
    <t>UNIPE</t>
  </si>
  <si>
    <t>João Pessoa</t>
  </si>
  <si>
    <t>PB</t>
  </si>
  <si>
    <t>Paulo Henrique Tavares da Silva</t>
  </si>
  <si>
    <t>admpdd2019</t>
  </si>
  <si>
    <t>Roberto Zaina</t>
  </si>
  <si>
    <t>Vinicius Faria Culmant Ramos</t>
  </si>
  <si>
    <t>Gustavo Medeiros de Araujo</t>
  </si>
  <si>
    <t>addpgd2019</t>
  </si>
  <si>
    <t>CESJF</t>
  </si>
  <si>
    <t>Juiz de Fora</t>
  </si>
  <si>
    <t>aqdieo2019</t>
  </si>
  <si>
    <t>Gustavo Marttos Cáceres Pereira</t>
  </si>
  <si>
    <t>uwapcd2017</t>
  </si>
  <si>
    <t>Alessandra Cassiana Burda</t>
  </si>
  <si>
    <t>Lucélia de Souza</t>
  </si>
  <si>
    <t>udslpd2017</t>
  </si>
  <si>
    <t>Lucas Rodrigues Costa</t>
  </si>
  <si>
    <t>Lucas Ângelo Silveira</t>
  </si>
  <si>
    <t>Ronnie Fagundes De Brito</t>
  </si>
  <si>
    <t>urpsad2017</t>
  </si>
  <si>
    <t>Murilo Silveira Gomes</t>
  </si>
  <si>
    <t>Lidiane Visintin</t>
  </si>
  <si>
    <t>Fernando Ostuni Gauthier</t>
  </si>
  <si>
    <t>uedcdv2017</t>
  </si>
  <si>
    <t>Jose Todesco</t>
  </si>
  <si>
    <t>ccdrpa2017</t>
  </si>
  <si>
    <t>Fábio Mosso Moreira</t>
  </si>
  <si>
    <t>Diana Vilas Boas Souto Aleixo</t>
  </si>
  <si>
    <t>Pedro Henrique Santos Bisi</t>
  </si>
  <si>
    <t>Leonardo Felipe Franchi</t>
  </si>
  <si>
    <t>Ricardo César Gonçalves Sant’Ana</t>
  </si>
  <si>
    <t>pdadmp2017</t>
  </si>
  <si>
    <t>Luiz Felipe Chiaradia</t>
  </si>
  <si>
    <t>mdadbd2017</t>
  </si>
  <si>
    <t>Ademilson Barbosa</t>
  </si>
  <si>
    <t>UFOPA</t>
  </si>
  <si>
    <t>Santarém</t>
  </si>
  <si>
    <t>PA</t>
  </si>
  <si>
    <t>Marcio Ponte</t>
  </si>
  <si>
    <t>Celson Lima</t>
  </si>
  <si>
    <t>ddocdq2017</t>
  </si>
  <si>
    <t>Jordana Nogueira Silva</t>
  </si>
  <si>
    <t>UNIVEM</t>
  </si>
  <si>
    <t>Jessica Souza</t>
  </si>
  <si>
    <t>Állan César Moreira de Oliveira</t>
  </si>
  <si>
    <t>Maria De Fátima Tavares</t>
  </si>
  <si>
    <t>aqdecu2017</t>
  </si>
  <si>
    <t>Gustavo Marttos Cácere</t>
  </si>
  <si>
    <t>João Henrique Martins</t>
  </si>
  <si>
    <t>Stratelli</t>
  </si>
  <si>
    <t>opedws2017</t>
  </si>
  <si>
    <t>Caio Coneglian</t>
  </si>
  <si>
    <t>Rodrigo Dieger</t>
  </si>
  <si>
    <t>Miriam Capretz</t>
  </si>
  <si>
    <t>UWO</t>
  </si>
  <si>
    <t>Ontario</t>
  </si>
  <si>
    <t>Canadá</t>
  </si>
  <si>
    <t>dvotbn2017</t>
  </si>
  <si>
    <t>César Henrique C. Dos Santos</t>
  </si>
  <si>
    <t>Maykon Carlos De Freitas</t>
  </si>
  <si>
    <t>Robson Rodrigues Lemos</t>
  </si>
  <si>
    <t>Alexandre Leopoldo Gonçalves</t>
  </si>
  <si>
    <t>vdidvd2017</t>
  </si>
  <si>
    <t>Lucas Ladeira</t>
  </si>
  <si>
    <t>Leonardo Botega</t>
  </si>
  <si>
    <t>João Martins</t>
  </si>
  <si>
    <t>Vagner Pagotti</t>
  </si>
  <si>
    <t>adedun2017</t>
  </si>
  <si>
    <t>Victor Ubiracy Borba</t>
  </si>
  <si>
    <t>Elaine Parra Affonso</t>
  </si>
  <si>
    <t>Ricardo Cesar Gonçalves Sant’ana</t>
  </si>
  <si>
    <t>pdgddn2017</t>
  </si>
  <si>
    <t>Elizabete Cristina De Souza De Aguiar Monteiro</t>
  </si>
  <si>
    <t>Ricardo Cesar Gonçalves Sant’Ana</t>
  </si>
  <si>
    <t>rddcas2017</t>
  </si>
  <si>
    <t>rdsppd2017</t>
  </si>
  <si>
    <t>Gislaine Parra Freund</t>
  </si>
  <si>
    <t>Digitro</t>
  </si>
  <si>
    <t>Priscila Basto Fagundes</t>
  </si>
  <si>
    <t>adieas2017</t>
  </si>
  <si>
    <t>Jean Fernandes Brito</t>
  </si>
  <si>
    <t>Rafaela Carolina Da Silva</t>
  </si>
  <si>
    <t>Marcio Matias</t>
  </si>
  <si>
    <t>rdiptw2017</t>
  </si>
  <si>
    <t>Eduardo Silveira</t>
  </si>
  <si>
    <t>Márcio Matias</t>
  </si>
  <si>
    <t>osdddm2021</t>
  </si>
  <si>
    <t>Manoel Camilo de Sousa Netto</t>
  </si>
  <si>
    <t>tadrdi2021</t>
  </si>
  <si>
    <t>ceiddc2021</t>
  </si>
  <si>
    <t>Patrícia Mascarenhas Dias</t>
  </si>
  <si>
    <t>Gray Farias Moita</t>
  </si>
  <si>
    <t>tdeagd2021</t>
  </si>
  <si>
    <t>Eduardo Alves Silva</t>
  </si>
  <si>
    <t>Universidade de Coimbra</t>
  </si>
  <si>
    <t>Coimbra</t>
  </si>
  <si>
    <t>Portugal</t>
  </si>
  <si>
    <t>ddfacf2021</t>
  </si>
  <si>
    <t>Higor Alexandre Duarte Mascarenhas</t>
  </si>
  <si>
    <t>eddema2021</t>
  </si>
  <si>
    <t>Gustavo Medeiros de Araújo</t>
  </si>
  <si>
    <t>uppaie2021</t>
  </si>
  <si>
    <t>pdpddo2021</t>
  </si>
  <si>
    <t>UFOB</t>
  </si>
  <si>
    <t>Barreiras</t>
  </si>
  <si>
    <t>BA</t>
  </si>
  <si>
    <t>adfqid2021</t>
  </si>
  <si>
    <t>Leonardo Santos Amaral</t>
  </si>
  <si>
    <t>Ricardo Alexandre Reinaldo de Moraes</t>
  </si>
  <si>
    <t>ccretd2021</t>
  </si>
  <si>
    <t>Eduardo Santos Rocha</t>
  </si>
  <si>
    <t>Ronaldo Ferreira Araújo</t>
  </si>
  <si>
    <t>gddcpe2021</t>
  </si>
  <si>
    <t>Marília Catarina Andrade Gontijo</t>
  </si>
  <si>
    <t>Raíssa Yuri Hamanaka</t>
  </si>
  <si>
    <t>radadc2021</t>
  </si>
  <si>
    <t>Keli Rodrigues do Amaral Benin</t>
  </si>
  <si>
    <t>Paula Regina Ventura Amorim Gonçalez</t>
  </si>
  <si>
    <t>pddudà2021</t>
  </si>
  <si>
    <t>mdeeac2021</t>
  </si>
  <si>
    <t>cddnec2021</t>
  </si>
  <si>
    <t>Patrícia Takaki</t>
  </si>
  <si>
    <t>Moisés Dutra</t>
  </si>
  <si>
    <t>pdqpde2021</t>
  </si>
  <si>
    <t>cddpad2021</t>
  </si>
  <si>
    <t>mdmntn2021</t>
  </si>
  <si>
    <t>Tainacan</t>
  </si>
  <si>
    <t>Goiania</t>
  </si>
  <si>
    <t>sdiesp2021</t>
  </si>
  <si>
    <t>acdirc2021</t>
  </si>
  <si>
    <t>Joana Halta dos Santos</t>
  </si>
  <si>
    <t>uepcie2021</t>
  </si>
  <si>
    <t>Washington Segundo</t>
  </si>
  <si>
    <t>Vivian Silva</t>
  </si>
  <si>
    <t>Josir Gomes</t>
  </si>
  <si>
    <t>Ary Dias</t>
  </si>
  <si>
    <t>Juliana Schneider</t>
  </si>
  <si>
    <t>Thiago Magela Dias</t>
  </si>
  <si>
    <t>Tales Moreira</t>
  </si>
  <si>
    <t>Luc Quoniam</t>
  </si>
  <si>
    <t>UFMS</t>
  </si>
  <si>
    <t>Pioneiros</t>
  </si>
  <si>
    <t>MS</t>
  </si>
  <si>
    <t>Lautaro Matas</t>
  </si>
  <si>
    <t>La Referencia</t>
  </si>
  <si>
    <t>sàgddd2018</t>
  </si>
  <si>
    <t>Fernanda Gomes Almeida</t>
  </si>
  <si>
    <t>Marcos de Souza</t>
  </si>
  <si>
    <t>rcrput2018</t>
  </si>
  <si>
    <t>Max Melquiades da Silva</t>
  </si>
  <si>
    <t>Simone Cristina Dufloth</t>
  </si>
  <si>
    <t>FJP</t>
  </si>
  <si>
    <t>rdddpi2018</t>
  </si>
  <si>
    <t>André Luiz França de Madeiro</t>
  </si>
  <si>
    <t>rdener2018</t>
  </si>
  <si>
    <t>Jairo Santana</t>
  </si>
  <si>
    <t>Diefferson K. Moro</t>
  </si>
  <si>
    <t>Rogério de Aquino Silva</t>
  </si>
  <si>
    <t>pdmpdd2018</t>
  </si>
  <si>
    <t>IFSP</t>
  </si>
  <si>
    <t>Itapetininga</t>
  </si>
  <si>
    <t>Ana Carolina Simionato</t>
  </si>
  <si>
    <t>Plácida Leopoldina Ventura Amorim da Costa Santos</t>
  </si>
  <si>
    <t>otbdqd2018</t>
  </si>
  <si>
    <t>oedenâ2018</t>
  </si>
  <si>
    <t>Renata Lemos dos Anjos</t>
  </si>
  <si>
    <t>Débora Gomes de Araújo</t>
  </si>
  <si>
    <t>ndvgpd2018</t>
  </si>
  <si>
    <t>Adriana Alves Rodrigues</t>
  </si>
  <si>
    <t>leauei2018</t>
  </si>
  <si>
    <t>Matheus José Pessoa de Andrade</t>
  </si>
  <si>
    <t>Tassyara Onofre de Oliveira</t>
  </si>
  <si>
    <t>idedpa2018</t>
  </si>
  <si>
    <t>hdvdpc2018</t>
  </si>
  <si>
    <t>Mirelys Puerta Díaz</t>
  </si>
  <si>
    <t>Edgar Bisset Alvarez</t>
  </si>
  <si>
    <t>Silvana Aparecida Borsetti Gregorio Vidotti</t>
  </si>
  <si>
    <t>gdddba2018</t>
  </si>
  <si>
    <t>Filipi Miranda Soares</t>
  </si>
  <si>
    <t>Benildes C. Moreira dos Santos Maculan</t>
  </si>
  <si>
    <t>eeecdd2018</t>
  </si>
  <si>
    <t>Renan A. M. Nutse</t>
  </si>
  <si>
    <t>da+ccu2018</t>
  </si>
  <si>
    <t>Enrique Muriel-Torrado</t>
  </si>
  <si>
    <t>Rebeca Silva Fernandes de Moura</t>
  </si>
  <si>
    <t>dapsgu2018</t>
  </si>
  <si>
    <t>Rafael M. Toscano</t>
  </si>
  <si>
    <t>Valdecir Becker</t>
  </si>
  <si>
    <t>Helder Bruno A. M. de Souza</t>
  </si>
  <si>
    <t>Marianna C. Teixeira</t>
  </si>
  <si>
    <t>dtnpdr2018</t>
  </si>
  <si>
    <t>Andrea Carmo Name Willemin</t>
  </si>
  <si>
    <t>Geralda Magella de Faria</t>
  </si>
  <si>
    <t>Cláudio José Amante</t>
  </si>
  <si>
    <t>alcces2018</t>
  </si>
  <si>
    <t>Maria Carolina Zanini Ferreira</t>
  </si>
  <si>
    <t>Clarissa Stefani Teixeira</t>
  </si>
  <si>
    <t>auadvd2018</t>
  </si>
  <si>
    <t>Talitha Alessandra Medeiros Ribeiro</t>
  </si>
  <si>
    <t>IFBA</t>
  </si>
  <si>
    <t>Larissa de Sousa Moreira Gusmão</t>
  </si>
  <si>
    <t>Damires Yluska de Souza Fernandes</t>
  </si>
  <si>
    <t>adsise2018</t>
  </si>
  <si>
    <t>NOVAIMS</t>
  </si>
  <si>
    <t>Lisboa</t>
  </si>
  <si>
    <t>adrepe2018</t>
  </si>
  <si>
    <t>Roberto Silva de Oliveira Júnior</t>
  </si>
  <si>
    <t>Douglas Valentim de Almeida Cardins</t>
  </si>
  <si>
    <t>Wenddell Juler Pereira de Lima</t>
  </si>
  <si>
    <t>Thereza Patrícia Pereira Padilha</t>
  </si>
  <si>
    <t>Vanessa Farias Dantas</t>
  </si>
  <si>
    <t>acddàl2018</t>
  </si>
  <si>
    <t>Tereza Cristina Fernande</t>
  </si>
  <si>
    <t>Marcello Mundim Rodrigues(</t>
  </si>
  <si>
    <t>adcdvd2018</t>
  </si>
  <si>
    <t>Jeanne Louize Emygdio</t>
  </si>
  <si>
    <t>Eduardo Ribeiro Felipe</t>
  </si>
  <si>
    <t>dfàpnb2018</t>
  </si>
  <si>
    <t>Rossana Gleucy de Ávila Chagas e Carvalho</t>
  </si>
  <si>
    <t>iepnlg2018</t>
  </si>
  <si>
    <t>UNIPÉ</t>
  </si>
  <si>
    <t>Fernando Antônio de Vasconcelos</t>
  </si>
  <si>
    <t>opdmnc2018</t>
  </si>
  <si>
    <t>Rachel Cristina Vesu Alves</t>
  </si>
  <si>
    <t>paddud2018</t>
  </si>
  <si>
    <t>Elizabete Cristina de Souza Aguiar Monteiro</t>
  </si>
  <si>
    <t>Jacquelin Teresa Camperos Reyes</t>
  </si>
  <si>
    <t>FATEC</t>
  </si>
  <si>
    <t>Presidente Prudente</t>
  </si>
  <si>
    <t>tbunpn2018</t>
  </si>
  <si>
    <t>Jailton Cardoso da Cruz</t>
  </si>
  <si>
    <t>opfcdp2018</t>
  </si>
  <si>
    <t>Bárbara Carvalho Diniz</t>
  </si>
  <si>
    <t>Guilherme Ataíde Dias</t>
  </si>
  <si>
    <t>Alzira Karla Araújo da Silva</t>
  </si>
  <si>
    <t>pdgddu2018</t>
  </si>
  <si>
    <t>maeics2018</t>
  </si>
  <si>
    <t>Pedro Jácome de Moura Jr</t>
  </si>
  <si>
    <t>Maicon Henrique Ferreira Aragão</t>
  </si>
  <si>
    <t>pdaece2018</t>
  </si>
  <si>
    <t>Milena Teixeira</t>
  </si>
  <si>
    <t>Leandro Pereira Garcia</t>
  </si>
  <si>
    <t>Ingo Ramos</t>
  </si>
  <si>
    <t>Lucas Alexandre Pedebôs</t>
  </si>
  <si>
    <t>SESA</t>
  </si>
  <si>
    <t>Douglas Macedo</t>
  </si>
  <si>
    <t>caopdm2018</t>
  </si>
  <si>
    <t>Ana Alice Baptista</t>
  </si>
  <si>
    <t>Uminho</t>
  </si>
  <si>
    <t>Minho</t>
  </si>
  <si>
    <t>iddbeo2018</t>
  </si>
  <si>
    <t>Maurício Barcellos Almeida</t>
  </si>
  <si>
    <t>cdeddp2018</t>
  </si>
  <si>
    <t>Luís Fernando Sayão</t>
  </si>
  <si>
    <t>CIN</t>
  </si>
  <si>
    <t>ibpddp2018</t>
  </si>
  <si>
    <t>Pedro Luiz Pizzigatti Corrêa</t>
  </si>
  <si>
    <t>tmoudd2018</t>
  </si>
  <si>
    <t>opdbnp2018</t>
  </si>
  <si>
    <t>Miriam Cândida de Jesus</t>
  </si>
  <si>
    <t>Nina Cláudia Mendonça Campos de Miranda</t>
  </si>
  <si>
    <t>Célia da Consolação Dias</t>
  </si>
  <si>
    <t>mapdsa2018</t>
  </si>
  <si>
    <t>Marcos Vinícius Ferreira Cesário</t>
  </si>
  <si>
    <t>MP/PB</t>
  </si>
  <si>
    <t>agdddp2018</t>
  </si>
  <si>
    <t>ddpeop2018</t>
  </si>
  <si>
    <t>acdieo2018</t>
  </si>
  <si>
    <t>Luana Farias Sales</t>
  </si>
  <si>
    <t>aqdidc2018</t>
  </si>
  <si>
    <t>Sandra de Albuquerque Siebra</t>
  </si>
  <si>
    <t>UFPE</t>
  </si>
  <si>
    <t>Recife</t>
  </si>
  <si>
    <t>PE</t>
  </si>
  <si>
    <t>Ricardo César Gonçalves Sant'Ana</t>
  </si>
  <si>
    <t>aedddp2018</t>
  </si>
  <si>
    <t>Wagner Junqueira de Araújo</t>
  </si>
  <si>
    <t>UMinho</t>
  </si>
  <si>
    <t>acdrdd2018</t>
  </si>
  <si>
    <t>Pollianna Marys de Souza e Silva</t>
  </si>
  <si>
    <t>piadmd2018</t>
  </si>
  <si>
    <t>Marcelo da Silva Morreira</t>
  </si>
  <si>
    <t>Enrique Muriel Torrado</t>
  </si>
  <si>
    <t>Gracielle Mendonça Rodrigues Gomes</t>
  </si>
  <si>
    <t>Marcello Mundim Rodrigues</t>
  </si>
  <si>
    <t>pdcddc2018</t>
  </si>
  <si>
    <t>Marynice de Medeiros Matos Autran(</t>
  </si>
  <si>
    <t>mmpaop2018</t>
  </si>
  <si>
    <t>Bruno Cesarino Soares</t>
  </si>
  <si>
    <t>Rogério Amaral Bonatti</t>
  </si>
  <si>
    <t>wsdrpd2018</t>
  </si>
  <si>
    <t>Alexandre Ribas Semele</t>
  </si>
  <si>
    <t>UFRS</t>
  </si>
  <si>
    <t>Porto Alegre</t>
  </si>
  <si>
    <t>RS</t>
  </si>
  <si>
    <t>Arthur Oliveira</t>
  </si>
  <si>
    <t>addiaa2018</t>
  </si>
  <si>
    <t>Denysson Axel Ribeiro Mota</t>
  </si>
  <si>
    <t>André Luiz Dias de França</t>
  </si>
  <si>
    <t>Eduardo de Santana Medeiros Alexandre</t>
  </si>
  <si>
    <t>IFPB</t>
  </si>
  <si>
    <t>caodpc2018</t>
  </si>
  <si>
    <t>Luciana Gonçalves Silva Souza​​</t>
  </si>
  <si>
    <t>Izabel Antonina de Araújo​​</t>
  </si>
  <si>
    <t>Júlia Rocha Ribeiro</t>
  </si>
  <si>
    <t>metudt2018</t>
  </si>
  <si>
    <t>UFCA</t>
  </si>
  <si>
    <t>Juazeiro do Norte</t>
  </si>
  <si>
    <t>CE</t>
  </si>
  <si>
    <t>Gracy Kelli Martins</t>
  </si>
  <si>
    <t>rdddpa2022</t>
  </si>
  <si>
    <t xml:space="preserve">Ana Carolina Simionato Arakaki </t>
  </si>
  <si>
    <t>odspnf2019</t>
  </si>
  <si>
    <t>Adriana Veloso Meireles</t>
  </si>
  <si>
    <t>acdiea2018</t>
  </si>
  <si>
    <t>Identificação de ausências</t>
  </si>
  <si>
    <t>chaveTituloAno 1</t>
  </si>
  <si>
    <t>chaveTituloAno 2</t>
  </si>
  <si>
    <t>Registro Ausentes  em chaveTituloAno 2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</si>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</sst>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  <font>
      <b/>
      <color rgb="FF0000FF"/>
      <name val="Arial"/>
      <scheme val="minor"/>
    </font>
    <font>
      <b/>
      <color rgb="FF6AA84F"/>
      <name val="Arial"/>
      <scheme val="minor"/>
    </font>
    <font>
      <b/>
      <color rgb="FF0000FF"/>
      <name val="Arial"/>
    </font>
    <font>
      <sz val="9.0"/>
      <color rgb="FF000000"/>
      <name val="&quot;Google Sans Mono&quot;"/>
    </font>
    <font>
      <b/>
      <sz val="13.0"/>
      <color rgb="FF0000FF"/>
      <name val="Arial"/>
      <scheme val="minor"/>
    </font>
    <font>
      <b/>
      <color theme="1"/>
      <name val="Arial"/>
    </font>
    <font>
      <b/>
      <sz val="12.0"/>
      <color theme="1"/>
      <name val="Arial"/>
      <scheme val="minor"/>
    </font>
    <font/>
    <font>
      <b/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/>
    </xf>
    <xf borderId="0" fillId="0" fontId="7" numFmtId="0" xfId="0" applyAlignment="1" applyFont="1">
      <alignment horizontal="center" readingOrder="0" shrinkToFit="0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8" numFmtId="0" xfId="0" applyAlignment="1" applyFill="1" applyFont="1">
      <alignment readingOrder="0" shrinkToFit="0" wrapText="0"/>
    </xf>
    <xf borderId="0" fillId="0" fontId="7" numFmtId="0" xfId="0" applyFont="1"/>
    <xf borderId="0" fillId="0" fontId="2" numFmtId="0" xfId="0" applyAlignment="1" applyFont="1">
      <alignment shrinkToFit="0" wrapText="0"/>
    </xf>
    <xf borderId="0" fillId="0" fontId="5" numFmtId="0" xfId="0" applyAlignment="1" applyFon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8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2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0"/>
    </xf>
    <xf borderId="1" fillId="0" fontId="12" numFmtId="0" xfId="0" applyAlignment="1" applyBorder="1" applyFont="1">
      <alignment horizontal="center" readingOrder="0"/>
    </xf>
    <xf borderId="2" fillId="0" fontId="13" numFmtId="0" xfId="0" applyBorder="1" applyFont="1"/>
    <xf borderId="3" fillId="0" fontId="13" numFmtId="0" xfId="0" applyBorder="1" applyFont="1"/>
    <xf borderId="0" fillId="0" fontId="12" numFmtId="0" xfId="0" applyAlignment="1" applyFont="1">
      <alignment horizontal="center" readingOrder="0"/>
    </xf>
    <xf borderId="4" fillId="3" fontId="14" numFmtId="0" xfId="0" applyAlignment="1" applyBorder="1" applyFill="1" applyFont="1">
      <alignment readingOrder="0"/>
    </xf>
    <xf borderId="0" fillId="4" fontId="14" numFmtId="0" xfId="0" applyAlignment="1" applyFill="1" applyFont="1">
      <alignment readingOrder="0"/>
    </xf>
    <xf borderId="5" fillId="3" fontId="14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4" fontId="2" numFmtId="0" xfId="0" applyFont="1"/>
    <xf borderId="5" fillId="3" fontId="2" numFmtId="0" xfId="0" applyBorder="1" applyFont="1"/>
    <xf borderId="4" fillId="3" fontId="2" numFmtId="0" xfId="0" applyBorder="1" applyFont="1"/>
    <xf borderId="0" fillId="0" fontId="2" numFmtId="0" xfId="0" applyAlignment="1" applyFont="1">
      <alignment readingOrder="0"/>
    </xf>
    <xf borderId="6" fillId="3" fontId="2" numFmtId="0" xfId="0" applyBorder="1" applyFont="1"/>
    <xf borderId="7" fillId="0" fontId="2" numFmtId="0" xfId="0" applyBorder="1" applyFont="1"/>
    <xf borderId="8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dat2017.ufsc.br/" TargetMode="External"/><Relationship Id="rId2" Type="http://schemas.openxmlformats.org/officeDocument/2006/relationships/hyperlink" Target="https://repositorio.ufsc.br/bitstream/handle/123456789/180265/Anais.do.WIDAT2017.pdf" TargetMode="External"/><Relationship Id="rId3" Type="http://schemas.openxmlformats.org/officeDocument/2006/relationships/hyperlink" Target="https://www.ufpb.br/widat" TargetMode="External"/><Relationship Id="rId4" Type="http://schemas.openxmlformats.org/officeDocument/2006/relationships/hyperlink" Target="http://www.prpg.ufpb.br/prpg/contents/noticias/o-ii-workshop-de-informacao-dados-e-tecnologia-widat-2018-e-a-confirmacao-do-sucesso-da-primeira-edicao-do-evento-realizado-no-ambito-do-programa-de-pos-graduacao-em-ciencia-da-informacao-ppgcin-universidade-federal-de-santa-catarina-ufsc-no-ano-de-2017" TargetMode="External"/><Relationship Id="rId11" Type="http://schemas.openxmlformats.org/officeDocument/2006/relationships/hyperlink" Target="https://widat2022.ufes.br/wp-content/uploads/2023/04/widat-2022-anais.pdf" TargetMode="External"/><Relationship Id="rId10" Type="http://schemas.openxmlformats.org/officeDocument/2006/relationships/hyperlink" Target="https://widat2022.ufes.br/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pub.colnes.org/index.php/anis/issue/view/14" TargetMode="External"/><Relationship Id="rId5" Type="http://schemas.openxmlformats.org/officeDocument/2006/relationships/hyperlink" Target="https://dadosabertos.info/enhanced_publications/idt/?fbclid=IwAR0H2NShAeX5P1fUovmkTxG_k12L-M9uyEOacjA7_ER2tFQGHcjYW8PTG20" TargetMode="External"/><Relationship Id="rId6" Type="http://schemas.openxmlformats.org/officeDocument/2006/relationships/hyperlink" Target="http://widat2019.fci.unb.br/" TargetMode="External"/><Relationship Id="rId7" Type="http://schemas.openxmlformats.org/officeDocument/2006/relationships/hyperlink" Target="http://widat2019.fci.unb.br/index.php/anais-widat-2019" TargetMode="External"/><Relationship Id="rId8" Type="http://schemas.openxmlformats.org/officeDocument/2006/relationships/hyperlink" Target="https://pgcin.ufsc.br/2021/10/20/o-iv-workshop-de-informacao-dados-e-tecnologia-widat-2021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</cols>
  <sheetData>
    <row r="1">
      <c r="A1" s="1" t="s">
        <v>0</v>
      </c>
    </row>
    <row r="2">
      <c r="A2" s="2" t="s">
        <v>1</v>
      </c>
    </row>
    <row r="3">
      <c r="B3" s="2" t="s">
        <v>2</v>
      </c>
    </row>
    <row r="4">
      <c r="B4" s="2" t="s">
        <v>3</v>
      </c>
    </row>
    <row r="5">
      <c r="B5" s="2" t="s">
        <v>4</v>
      </c>
    </row>
    <row r="6">
      <c r="B6" s="2" t="s">
        <v>5</v>
      </c>
    </row>
    <row r="7">
      <c r="B7" s="2" t="s">
        <v>6</v>
      </c>
    </row>
    <row r="8">
      <c r="B8" s="2" t="s">
        <v>7</v>
      </c>
    </row>
    <row r="9">
      <c r="B9" s="2" t="s">
        <v>8</v>
      </c>
    </row>
    <row r="10">
      <c r="A1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23.5"/>
  </cols>
  <sheetData>
    <row r="1">
      <c r="A1" s="1" t="s">
        <v>9</v>
      </c>
    </row>
    <row r="2">
      <c r="A2" s="2">
        <v>2017.0</v>
      </c>
    </row>
    <row r="3">
      <c r="B3" s="2" t="s">
        <v>10</v>
      </c>
      <c r="C3" s="2" t="s">
        <v>11</v>
      </c>
    </row>
    <row r="4">
      <c r="B4" s="2" t="s">
        <v>12</v>
      </c>
      <c r="C4" s="2" t="s">
        <v>13</v>
      </c>
    </row>
    <row r="5">
      <c r="B5" s="2" t="s">
        <v>14</v>
      </c>
      <c r="C5" s="3" t="s">
        <v>15</v>
      </c>
    </row>
    <row r="6">
      <c r="B6" s="2" t="s">
        <v>16</v>
      </c>
      <c r="C6" s="3" t="s">
        <v>17</v>
      </c>
    </row>
    <row r="8">
      <c r="A8" s="2">
        <v>2018.0</v>
      </c>
    </row>
    <row r="9">
      <c r="B9" s="2" t="s">
        <v>10</v>
      </c>
      <c r="C9" s="2" t="s">
        <v>18</v>
      </c>
    </row>
    <row r="10">
      <c r="B10" s="2" t="s">
        <v>12</v>
      </c>
      <c r="C10" s="2" t="s">
        <v>19</v>
      </c>
    </row>
    <row r="11">
      <c r="B11" s="2" t="s">
        <v>20</v>
      </c>
      <c r="C11" s="3" t="s">
        <v>21</v>
      </c>
    </row>
    <row r="12">
      <c r="B12" s="2" t="s">
        <v>22</v>
      </c>
      <c r="C12" s="3" t="s">
        <v>23</v>
      </c>
    </row>
    <row r="13">
      <c r="B13" s="2" t="s">
        <v>16</v>
      </c>
      <c r="C13" s="3" t="s">
        <v>24</v>
      </c>
    </row>
    <row r="15">
      <c r="A15" s="2">
        <v>2019.0</v>
      </c>
    </row>
    <row r="16">
      <c r="B16" s="2" t="s">
        <v>10</v>
      </c>
      <c r="C16" s="2" t="s">
        <v>25</v>
      </c>
    </row>
    <row r="17">
      <c r="B17" s="2" t="s">
        <v>12</v>
      </c>
      <c r="C17" s="2" t="s">
        <v>26</v>
      </c>
    </row>
    <row r="18">
      <c r="B18" s="2" t="s">
        <v>14</v>
      </c>
      <c r="C18" s="3" t="s">
        <v>27</v>
      </c>
    </row>
    <row r="19">
      <c r="B19" s="2" t="s">
        <v>16</v>
      </c>
      <c r="C19" s="3" t="s">
        <v>28</v>
      </c>
    </row>
    <row r="21">
      <c r="A21" s="2">
        <v>2021.0</v>
      </c>
    </row>
    <row r="22">
      <c r="B22" s="2" t="s">
        <v>10</v>
      </c>
      <c r="C22" s="2" t="s">
        <v>29</v>
      </c>
    </row>
    <row r="23">
      <c r="B23" s="2" t="s">
        <v>12</v>
      </c>
      <c r="C23" s="2" t="s">
        <v>30</v>
      </c>
    </row>
    <row r="24">
      <c r="B24" s="2" t="s">
        <v>14</v>
      </c>
      <c r="C24" s="2" t="s">
        <v>31</v>
      </c>
    </row>
    <row r="25">
      <c r="B25" s="2" t="s">
        <v>32</v>
      </c>
      <c r="C25" s="4" t="s">
        <v>33</v>
      </c>
    </row>
    <row r="26">
      <c r="B26" s="2" t="s">
        <v>16</v>
      </c>
      <c r="C26" s="3" t="s">
        <v>34</v>
      </c>
    </row>
    <row r="28">
      <c r="A28" s="2">
        <v>2022.0</v>
      </c>
    </row>
    <row r="29">
      <c r="B29" s="2" t="s">
        <v>10</v>
      </c>
      <c r="C29" s="2" t="s">
        <v>35</v>
      </c>
    </row>
    <row r="30">
      <c r="B30" s="2" t="s">
        <v>12</v>
      </c>
      <c r="C30" s="2" t="s">
        <v>36</v>
      </c>
    </row>
    <row r="31">
      <c r="B31" s="2" t="s">
        <v>14</v>
      </c>
      <c r="C31" s="3" t="s">
        <v>37</v>
      </c>
    </row>
    <row r="32">
      <c r="B32" s="2" t="s">
        <v>16</v>
      </c>
      <c r="C32" s="3" t="s">
        <v>38</v>
      </c>
    </row>
    <row r="35">
      <c r="A35" s="1" t="s">
        <v>39</v>
      </c>
    </row>
    <row r="36">
      <c r="A36" s="5">
        <v>2017.0</v>
      </c>
      <c r="B36" s="6">
        <f>countif('Coleta 1 ano, título, palavras '!$B$2:$B$902,"="&amp;A36)</f>
        <v>18</v>
      </c>
      <c r="C36" s="2" t="s">
        <v>40</v>
      </c>
    </row>
    <row r="37">
      <c r="A37" s="5">
        <v>2018.0</v>
      </c>
      <c r="B37" s="6">
        <f>countif('Coleta 1 ano, título, palavras '!$B$2:$B$902,"="&amp;A37)</f>
        <v>52</v>
      </c>
      <c r="C37" s="2" t="s">
        <v>40</v>
      </c>
    </row>
    <row r="38">
      <c r="A38" s="5">
        <v>2019.0</v>
      </c>
      <c r="B38" s="6">
        <f>countif('Coleta 1 ano, título, palavras '!$B$2:$B$902,"="&amp;A38)</f>
        <v>23</v>
      </c>
      <c r="C38" s="2" t="s">
        <v>40</v>
      </c>
    </row>
    <row r="39">
      <c r="A39" s="5">
        <v>2021.0</v>
      </c>
      <c r="B39" s="6">
        <f>countif('Coleta 1 ano, título, palavras '!$B$2:$B$902,"="&amp;A39)</f>
        <v>21</v>
      </c>
      <c r="C39" s="2" t="s">
        <v>40</v>
      </c>
    </row>
    <row r="40">
      <c r="A40" s="5">
        <v>2022.0</v>
      </c>
      <c r="B40" s="6">
        <f>countif('Coleta 1 ano, título, palavras '!$B$2:$B$902,"="&amp;A40)</f>
        <v>37</v>
      </c>
      <c r="C40" s="2" t="s">
        <v>40</v>
      </c>
    </row>
    <row r="41">
      <c r="A41" s="7" t="s">
        <v>41</v>
      </c>
      <c r="B41" s="6">
        <f>sum(B36:B40)</f>
        <v>151</v>
      </c>
    </row>
  </sheetData>
  <hyperlinks>
    <hyperlink r:id="rId1" ref="C5"/>
    <hyperlink r:id="rId2" ref="C6"/>
    <hyperlink r:id="rId3" ref="C11"/>
    <hyperlink r:id="rId4" ref="C12"/>
    <hyperlink r:id="rId5" ref="C13"/>
    <hyperlink r:id="rId6" ref="C18"/>
    <hyperlink r:id="rId7" ref="C19"/>
    <hyperlink r:id="rId8" ref="C25"/>
    <hyperlink r:id="rId9" ref="C26"/>
    <hyperlink r:id="rId10" ref="C31"/>
    <hyperlink r:id="rId11" ref="C32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0.63"/>
    <col customWidth="1" min="3" max="3" width="37.38"/>
    <col customWidth="1" min="4" max="4" width="23.0"/>
    <col customWidth="1" min="5" max="5" width="6.38"/>
    <col customWidth="1" min="6" max="6" width="20.13"/>
    <col customWidth="1" min="8" max="8" width="15.25"/>
    <col customWidth="1" min="9" max="9" width="76.25"/>
    <col customWidth="1" min="10" max="10" width="31.75"/>
    <col customWidth="1" min="11" max="11" width="23.38"/>
    <col customWidth="1" min="12" max="12" width="28.63"/>
    <col customWidth="1" min="13" max="13" width="17.38"/>
  </cols>
  <sheetData>
    <row r="1">
      <c r="A1" s="8"/>
      <c r="B1" s="9" t="s">
        <v>42</v>
      </c>
      <c r="C1" s="10" t="s">
        <v>43</v>
      </c>
      <c r="D1" s="10" t="s">
        <v>44</v>
      </c>
      <c r="E1" s="11"/>
      <c r="F1" s="11" t="s">
        <v>45</v>
      </c>
      <c r="G1" s="12" t="s">
        <v>42</v>
      </c>
      <c r="H1" s="13" t="s">
        <v>46</v>
      </c>
      <c r="I1" s="14" t="s">
        <v>47</v>
      </c>
      <c r="J1" s="13" t="s">
        <v>48</v>
      </c>
      <c r="K1" s="13" t="s">
        <v>49</v>
      </c>
      <c r="L1" s="13" t="s">
        <v>50</v>
      </c>
      <c r="M1" s="15" t="s">
        <v>51</v>
      </c>
      <c r="N1" s="16" t="s">
        <v>52</v>
      </c>
      <c r="O1" s="17" t="s">
        <v>53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</row>
    <row r="2">
      <c r="A2" s="8" t="s">
        <v>54</v>
      </c>
      <c r="B2" s="9">
        <v>2022.0</v>
      </c>
      <c r="C2" s="10" t="s">
        <v>55</v>
      </c>
      <c r="D2" s="19" t="s">
        <v>56</v>
      </c>
      <c r="G2" s="12">
        <f>B2</f>
        <v>2022</v>
      </c>
      <c r="H2" s="13" t="str">
        <f>LOWER(left(O2,1)&amp;left(P2,1)&amp;left(Q2,1)&amp;left(R2,1)&amp;left(S2,1)&amp;left(T2,1))&amp;G2</f>
        <v>rdddpc2022</v>
      </c>
      <c r="I2" s="20" t="str">
        <f>trim(C2)</f>
        <v>REPRESENTAÇÃO DE DADOS DE PESQUISA COM O PADRÃO DUBLIN CORE: UMA PROPOSTA DE MODELAGEM DE METADADOS PARA PROJETOS COVID-19 NO ÂMBITO DA UNIVERSIDADE FEDERAL DO ESPÍRITO SANTO</v>
      </c>
      <c r="J2" s="20" t="str">
        <f t="shared" ref="J2:J907" si="2">iferror(trim(N2),"")</f>
        <v>Representação da Informação</v>
      </c>
      <c r="K2" s="20"/>
      <c r="L2" s="20" t="str">
        <f t="shared" ref="L2:L907" si="3">lower(if(J2="",K2,J2))</f>
        <v>representação da informação</v>
      </c>
      <c r="M2" s="18"/>
      <c r="N2" s="21" t="str">
        <f>IFERROR(__xludf.DUMMYFUNCTION("TRANSPOSE(split(D2,"";"",true,true))"),"Representação da Informação")</f>
        <v>Representação da Informação</v>
      </c>
      <c r="O2" s="6" t="str">
        <f>IFERROR(__xludf.DUMMYFUNCTION("split(C2,"" "")"),"REPRESENTAÇÃO")</f>
        <v>REPRESENTAÇÃO</v>
      </c>
      <c r="P2" s="18" t="str">
        <f>IFERROR(__xludf.DUMMYFUNCTION("""COMPUTED_VALUE"""),"DE")</f>
        <v>DE</v>
      </c>
      <c r="Q2" s="18" t="str">
        <f>IFERROR(__xludf.DUMMYFUNCTION("""COMPUTED_VALUE"""),"DADOS")</f>
        <v>DADOS</v>
      </c>
      <c r="R2" s="18" t="str">
        <f>IFERROR(__xludf.DUMMYFUNCTION("""COMPUTED_VALUE"""),"DE")</f>
        <v>DE</v>
      </c>
      <c r="S2" s="18" t="str">
        <f>IFERROR(__xludf.DUMMYFUNCTION("""COMPUTED_VALUE"""),"PESQUISA")</f>
        <v>PESQUISA</v>
      </c>
      <c r="T2" s="18" t="str">
        <f>IFERROR(__xludf.DUMMYFUNCTION("""COMPUTED_VALUE"""),"COM")</f>
        <v>COM</v>
      </c>
      <c r="U2" s="18" t="str">
        <f>IFERROR(__xludf.DUMMYFUNCTION("""COMPUTED_VALUE"""),"O")</f>
        <v>O</v>
      </c>
      <c r="V2" s="18" t="str">
        <f>IFERROR(__xludf.DUMMYFUNCTION("""COMPUTED_VALUE"""),"PADRÃO")</f>
        <v>PADRÃO</v>
      </c>
      <c r="W2" s="18" t="str">
        <f>IFERROR(__xludf.DUMMYFUNCTION("""COMPUTED_VALUE"""),"DUBLIN")</f>
        <v>DUBLIN</v>
      </c>
      <c r="X2" s="18" t="str">
        <f>IFERROR(__xludf.DUMMYFUNCTION("""COMPUTED_VALUE"""),"CORE:")</f>
        <v>CORE:</v>
      </c>
      <c r="Y2" s="18" t="str">
        <f>IFERROR(__xludf.DUMMYFUNCTION("""COMPUTED_VALUE"""),"UMA")</f>
        <v>UMA</v>
      </c>
      <c r="Z2" s="18" t="str">
        <f>IFERROR(__xludf.DUMMYFUNCTION("""COMPUTED_VALUE"""),"PROPOSTA")</f>
        <v>PROPOSTA</v>
      </c>
      <c r="AA2" s="18" t="str">
        <f>IFERROR(__xludf.DUMMYFUNCTION("""COMPUTED_VALUE"""),"DE")</f>
        <v>DE</v>
      </c>
      <c r="AB2" s="18" t="str">
        <f>IFERROR(__xludf.DUMMYFUNCTION("""COMPUTED_VALUE"""),"MODELAGEM")</f>
        <v>MODELAGEM</v>
      </c>
      <c r="AC2" s="18" t="str">
        <f>IFERROR(__xludf.DUMMYFUNCTION("""COMPUTED_VALUE"""),"DE")</f>
        <v>DE</v>
      </c>
      <c r="AD2" s="18" t="str">
        <f>IFERROR(__xludf.DUMMYFUNCTION("""COMPUTED_VALUE"""),"METADADOS")</f>
        <v>METADADOS</v>
      </c>
      <c r="AE2" s="18" t="str">
        <f>IFERROR(__xludf.DUMMYFUNCTION("""COMPUTED_VALUE"""),"PARA")</f>
        <v>PARA</v>
      </c>
      <c r="AF2" s="18" t="str">
        <f>IFERROR(__xludf.DUMMYFUNCTION("""COMPUTED_VALUE"""),"PROJETOS")</f>
        <v>PROJETOS</v>
      </c>
      <c r="AG2" s="18" t="str">
        <f>IFERROR(__xludf.DUMMYFUNCTION("""COMPUTED_VALUE"""),"COVID-19")</f>
        <v>COVID-19</v>
      </c>
      <c r="AH2" s="18" t="str">
        <f>IFERROR(__xludf.DUMMYFUNCTION("""COMPUTED_VALUE"""),"NO")</f>
        <v>NO</v>
      </c>
      <c r="AI2" s="18" t="str">
        <f>IFERROR(__xludf.DUMMYFUNCTION("""COMPUTED_VALUE"""),"ÂMBITO")</f>
        <v>ÂMBITO</v>
      </c>
      <c r="AJ2" s="18" t="str">
        <f>IFERROR(__xludf.DUMMYFUNCTION("""COMPUTED_VALUE"""),"DA")</f>
        <v>DA</v>
      </c>
      <c r="AK2" s="18" t="str">
        <f>IFERROR(__xludf.DUMMYFUNCTION("""COMPUTED_VALUE"""),"UNIVERSIDADE")</f>
        <v>UNIVERSIDADE</v>
      </c>
      <c r="AL2" s="18" t="str">
        <f>IFERROR(__xludf.DUMMYFUNCTION("""COMPUTED_VALUE"""),"FEDERAL")</f>
        <v>FEDERAL</v>
      </c>
      <c r="AM2" s="18" t="str">
        <f>IFERROR(__xludf.DUMMYFUNCTION("""COMPUTED_VALUE"""),"DO")</f>
        <v>DO</v>
      </c>
      <c r="AN2" s="18" t="str">
        <f>IFERROR(__xludf.DUMMYFUNCTION("""COMPUTED_VALUE"""),"ESPÍRITO")</f>
        <v>ESPÍRITO</v>
      </c>
      <c r="AO2" s="18" t="str">
        <f>IFERROR(__xludf.DUMMYFUNCTION("""COMPUTED_VALUE"""),"SANTO")</f>
        <v>SANTO</v>
      </c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>
      <c r="A3" s="22"/>
      <c r="B3" s="23"/>
      <c r="C3" s="24"/>
      <c r="D3" s="24"/>
      <c r="G3" s="25">
        <f t="shared" ref="G3:I3" si="1">G2</f>
        <v>2022</v>
      </c>
      <c r="H3" s="20" t="str">
        <f t="shared" si="1"/>
        <v>rdddpc2022</v>
      </c>
      <c r="I3" s="20" t="str">
        <f t="shared" si="1"/>
        <v>REPRESENTAÇÃO DE DADOS DE PESQUISA COM O PADRÃO DUBLIN CORE: UMA PROPOSTA DE MODELAGEM DE METADADOS PARA PROJETOS COVID-19 NO ÂMBITO DA UNIVERSIDADE FEDERAL DO ESPÍRITO SANTO</v>
      </c>
      <c r="J3" s="20" t="str">
        <f t="shared" si="2"/>
        <v>Atividades Científicas e Tecnológicas</v>
      </c>
      <c r="K3" s="20"/>
      <c r="L3" s="20" t="str">
        <f t="shared" si="3"/>
        <v>atividades científicas e tecnológicas</v>
      </c>
      <c r="M3" s="18"/>
      <c r="N3" s="21" t="str">
        <f>IFERROR(__xludf.DUMMYFUNCTION("""COMPUTED_VALUE""")," Atividades Científicas e Tecnológicas")</f>
        <v> Atividades Científicas e Tecnológicas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</row>
    <row r="4">
      <c r="A4" s="22"/>
      <c r="B4" s="23"/>
      <c r="C4" s="24"/>
      <c r="D4" s="24"/>
      <c r="G4" s="25">
        <f t="shared" ref="G4:I4" si="4">G3</f>
        <v>2022</v>
      </c>
      <c r="H4" s="20" t="str">
        <f t="shared" si="4"/>
        <v>rdddpc2022</v>
      </c>
      <c r="I4" s="20" t="str">
        <f t="shared" si="4"/>
        <v>REPRESENTAÇÃO DE DADOS DE PESQUISA COM O PADRÃO DUBLIN CORE: UMA PROPOSTA DE MODELAGEM DE METADADOS PARA PROJETOS COVID-19 NO ÂMBITO DA UNIVERSIDADE FEDERAL DO ESPÍRITO SANTO</v>
      </c>
      <c r="J4" s="20" t="str">
        <f t="shared" si="2"/>
        <v>Padrão Dublin Core</v>
      </c>
      <c r="K4" s="20"/>
      <c r="L4" s="20" t="str">
        <f t="shared" si="3"/>
        <v>padrão dublin core</v>
      </c>
      <c r="M4" s="18"/>
      <c r="N4" s="21" t="str">
        <f>IFERROR(__xludf.DUMMYFUNCTION("""COMPUTED_VALUE""")," Padrão Dublin Core")</f>
        <v> Padrão Dublin Core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</row>
    <row r="5">
      <c r="A5" s="22"/>
      <c r="B5" s="23"/>
      <c r="C5" s="24"/>
      <c r="D5" s="24"/>
      <c r="G5" s="25">
        <f t="shared" ref="G5:I5" si="5">G4</f>
        <v>2022</v>
      </c>
      <c r="H5" s="20" t="str">
        <f t="shared" si="5"/>
        <v>rdddpc2022</v>
      </c>
      <c r="I5" s="20" t="str">
        <f t="shared" si="5"/>
        <v>REPRESENTAÇÃO DE DADOS DE PESQUISA COM O PADRÃO DUBLIN CORE: UMA PROPOSTA DE MODELAGEM DE METADADOS PARA PROJETOS COVID-19 NO ÂMBITO DA UNIVERSIDADE FEDERAL DO ESPÍRITO SANTO</v>
      </c>
      <c r="J5" s="20" t="str">
        <f t="shared" si="2"/>
        <v>Modelagem de Metadados</v>
      </c>
      <c r="K5" s="20"/>
      <c r="L5" s="20" t="str">
        <f t="shared" si="3"/>
        <v>modelagem de metadados</v>
      </c>
      <c r="M5" s="18"/>
      <c r="N5" s="21" t="str">
        <f>IFERROR(__xludf.DUMMYFUNCTION("""COMPUTED_VALUE""")," Modelagem de Metadados")</f>
        <v> Modelagem de Metadados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</row>
    <row r="6">
      <c r="A6" s="22"/>
      <c r="B6" s="23"/>
      <c r="C6" s="24"/>
      <c r="D6" s="24"/>
      <c r="G6" s="25">
        <f t="shared" ref="G6:I6" si="6">G5</f>
        <v>2022</v>
      </c>
      <c r="H6" s="20" t="str">
        <f t="shared" si="6"/>
        <v>rdddpc2022</v>
      </c>
      <c r="I6" s="20" t="str">
        <f t="shared" si="6"/>
        <v>REPRESENTAÇÃO DE DADOS DE PESQUISA COM O PADRÃO DUBLIN CORE: UMA PROPOSTA DE MODELAGEM DE METADADOS PARA PROJETOS COVID-19 NO ÂMBITO DA UNIVERSIDADE FEDERAL DO ESPÍRITO SANTO</v>
      </c>
      <c r="J6" s="20" t="str">
        <f t="shared" si="2"/>
        <v>Repositório Digital</v>
      </c>
      <c r="K6" s="20"/>
      <c r="L6" s="20" t="str">
        <f t="shared" si="3"/>
        <v>repositório digital</v>
      </c>
      <c r="M6" s="18"/>
      <c r="N6" s="21" t="str">
        <f>IFERROR(__xludf.DUMMYFUNCTION("""COMPUTED_VALUE""")," Repositório Digital")</f>
        <v> Repositório Digital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>
      <c r="A7" s="8"/>
      <c r="B7" s="9"/>
      <c r="C7" s="10"/>
      <c r="D7" s="19"/>
      <c r="G7" s="25">
        <f t="shared" ref="G7:I7" si="7">G6</f>
        <v>2022</v>
      </c>
      <c r="H7" s="20" t="str">
        <f t="shared" si="7"/>
        <v>rdddpc2022</v>
      </c>
      <c r="I7" s="20" t="str">
        <f t="shared" si="7"/>
        <v>REPRESENTAÇÃO DE DADOS DE PESQUISA COM O PADRÃO DUBLIN CORE: UMA PROPOSTA DE MODELAGEM DE METADADOS PARA PROJETOS COVID-19 NO ÂMBITO DA UNIVERSIDADE FEDERAL DO ESPÍRITO SANTO</v>
      </c>
      <c r="J7" s="20" t="str">
        <f t="shared" si="2"/>
        <v/>
      </c>
      <c r="K7" s="20"/>
      <c r="L7" s="20" t="str">
        <f t="shared" si="3"/>
        <v/>
      </c>
      <c r="M7" s="18"/>
      <c r="N7" s="21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>
      <c r="A8" s="8" t="s">
        <v>54</v>
      </c>
      <c r="B8" s="9">
        <v>2022.0</v>
      </c>
      <c r="C8" s="10" t="s">
        <v>57</v>
      </c>
      <c r="D8" s="19" t="s">
        <v>58</v>
      </c>
      <c r="G8" s="12">
        <f>B8</f>
        <v>2022</v>
      </c>
      <c r="H8" s="13" t="str">
        <f>LOWER(left(O8,1)&amp;left(P8,1)&amp;left(Q8,1)&amp;left(R8,1)&amp;left(S8,1)&amp;left(T8,1))&amp;G8</f>
        <v>awsanr2022</v>
      </c>
      <c r="I8" s="20" t="str">
        <f>trim(C8)</f>
        <v>A WEB SEMÂNTICA APLICADA NA RECUPERAÇÃO DE INFORMAÇÃO: Um Estudo de Caso no Contexto Estatístico de Uso de Livros Digitais por Alunos de Graduação</v>
      </c>
      <c r="J8" s="20" t="str">
        <f t="shared" si="2"/>
        <v>Recuperação da informação</v>
      </c>
      <c r="K8" s="20"/>
      <c r="L8" s="20" t="str">
        <f t="shared" si="3"/>
        <v>recuperação da informação</v>
      </c>
      <c r="M8" s="18"/>
      <c r="N8" s="21" t="str">
        <f>IFERROR(__xludf.DUMMYFUNCTION("TRANSPOSE(split(D8,"";"",true,true))"),"Recuperação da informação")</f>
        <v>Recuperação da informação</v>
      </c>
      <c r="O8" s="6" t="str">
        <f>IFERROR(__xludf.DUMMYFUNCTION("split(C8,"" "")"),"A")</f>
        <v>A</v>
      </c>
      <c r="P8" s="18" t="str">
        <f>IFERROR(__xludf.DUMMYFUNCTION("""COMPUTED_VALUE"""),"WEB")</f>
        <v>WEB</v>
      </c>
      <c r="Q8" s="18" t="str">
        <f>IFERROR(__xludf.DUMMYFUNCTION("""COMPUTED_VALUE"""),"SEMÂNTICA")</f>
        <v>SEMÂNTICA</v>
      </c>
      <c r="R8" s="18" t="str">
        <f>IFERROR(__xludf.DUMMYFUNCTION("""COMPUTED_VALUE"""),"APLICADA")</f>
        <v>APLICADA</v>
      </c>
      <c r="S8" s="18" t="str">
        <f>IFERROR(__xludf.DUMMYFUNCTION("""COMPUTED_VALUE"""),"NA")</f>
        <v>NA</v>
      </c>
      <c r="T8" s="18" t="str">
        <f>IFERROR(__xludf.DUMMYFUNCTION("""COMPUTED_VALUE"""),"RECUPERAÇÃO")</f>
        <v>RECUPERAÇÃO</v>
      </c>
      <c r="U8" s="18" t="str">
        <f>IFERROR(__xludf.DUMMYFUNCTION("""COMPUTED_VALUE"""),"DE")</f>
        <v>DE</v>
      </c>
      <c r="V8" s="18" t="str">
        <f>IFERROR(__xludf.DUMMYFUNCTION("""COMPUTED_VALUE"""),"INFORMAÇÃO:")</f>
        <v>INFORMAÇÃO:</v>
      </c>
      <c r="W8" s="18" t="str">
        <f>IFERROR(__xludf.DUMMYFUNCTION("""COMPUTED_VALUE"""),"Um")</f>
        <v>Um</v>
      </c>
      <c r="X8" s="18" t="str">
        <f>IFERROR(__xludf.DUMMYFUNCTION("""COMPUTED_VALUE"""),"Estudo")</f>
        <v>Estudo</v>
      </c>
      <c r="Y8" s="18" t="str">
        <f>IFERROR(__xludf.DUMMYFUNCTION("""COMPUTED_VALUE"""),"de")</f>
        <v>de</v>
      </c>
      <c r="Z8" s="18" t="str">
        <f>IFERROR(__xludf.DUMMYFUNCTION("""COMPUTED_VALUE"""),"Caso")</f>
        <v>Caso</v>
      </c>
      <c r="AA8" s="18" t="str">
        <f>IFERROR(__xludf.DUMMYFUNCTION("""COMPUTED_VALUE"""),"no")</f>
        <v>no</v>
      </c>
      <c r="AB8" s="18" t="str">
        <f>IFERROR(__xludf.DUMMYFUNCTION("""COMPUTED_VALUE"""),"Contexto")</f>
        <v>Contexto</v>
      </c>
      <c r="AC8" s="18" t="str">
        <f>IFERROR(__xludf.DUMMYFUNCTION("""COMPUTED_VALUE"""),"Estatístico")</f>
        <v>Estatístico</v>
      </c>
      <c r="AD8" s="18" t="str">
        <f>IFERROR(__xludf.DUMMYFUNCTION("""COMPUTED_VALUE"""),"de")</f>
        <v>de</v>
      </c>
      <c r="AE8" s="18" t="str">
        <f>IFERROR(__xludf.DUMMYFUNCTION("""COMPUTED_VALUE"""),"Uso")</f>
        <v>Uso</v>
      </c>
      <c r="AF8" s="18" t="str">
        <f>IFERROR(__xludf.DUMMYFUNCTION("""COMPUTED_VALUE"""),"de")</f>
        <v>de</v>
      </c>
      <c r="AG8" s="18" t="str">
        <f>IFERROR(__xludf.DUMMYFUNCTION("""COMPUTED_VALUE"""),"Livros")</f>
        <v>Livros</v>
      </c>
      <c r="AH8" s="18" t="str">
        <f>IFERROR(__xludf.DUMMYFUNCTION("""COMPUTED_VALUE"""),"Digitais")</f>
        <v>Digitais</v>
      </c>
      <c r="AI8" s="18" t="str">
        <f>IFERROR(__xludf.DUMMYFUNCTION("""COMPUTED_VALUE"""),"por")</f>
        <v>por</v>
      </c>
      <c r="AJ8" s="18" t="str">
        <f>IFERROR(__xludf.DUMMYFUNCTION("""COMPUTED_VALUE"""),"Alunos")</f>
        <v>Alunos</v>
      </c>
      <c r="AK8" s="18" t="str">
        <f>IFERROR(__xludf.DUMMYFUNCTION("""COMPUTED_VALUE"""),"de")</f>
        <v>de</v>
      </c>
      <c r="AL8" s="18" t="str">
        <f>IFERROR(__xludf.DUMMYFUNCTION("""COMPUTED_VALUE"""),"Graduação")</f>
        <v>Graduação</v>
      </c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</row>
    <row r="9">
      <c r="A9" s="22"/>
      <c r="B9" s="23"/>
      <c r="C9" s="24"/>
      <c r="D9" s="26"/>
      <c r="G9" s="25">
        <f t="shared" ref="G9:I9" si="8">G8</f>
        <v>2022</v>
      </c>
      <c r="H9" s="20" t="str">
        <f t="shared" si="8"/>
        <v>awsanr2022</v>
      </c>
      <c r="I9" s="20" t="str">
        <f t="shared" si="8"/>
        <v>A WEB SEMÂNTICA APLICADA NA RECUPERAÇÃO DE INFORMAÇÃO: Um Estudo de Caso no Contexto Estatístico de Uso de Livros Digitais por Alunos de Graduação</v>
      </c>
      <c r="J9" s="20" t="str">
        <f t="shared" si="2"/>
        <v>Web semântica</v>
      </c>
      <c r="K9" s="20"/>
      <c r="L9" s="20" t="str">
        <f t="shared" si="3"/>
        <v>web semântica</v>
      </c>
      <c r="M9" s="18"/>
      <c r="N9" s="21" t="str">
        <f>IFERROR(__xludf.DUMMYFUNCTION("""COMPUTED_VALUE""")," Web semântica")</f>
        <v> Web semântica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</row>
    <row r="10">
      <c r="A10" s="22"/>
      <c r="B10" s="23"/>
      <c r="C10" s="24"/>
      <c r="D10" s="26"/>
      <c r="G10" s="25">
        <f t="shared" ref="G10:I10" si="9">G9</f>
        <v>2022</v>
      </c>
      <c r="H10" s="20" t="str">
        <f t="shared" si="9"/>
        <v>awsanr2022</v>
      </c>
      <c r="I10" s="20" t="str">
        <f t="shared" si="9"/>
        <v>A WEB SEMÂNTICA APLICADA NA RECUPERAÇÃO DE INFORMAÇÃO: Um Estudo de Caso no Contexto Estatístico de Uso de Livros Digitais por Alunos de Graduação</v>
      </c>
      <c r="J10" s="20" t="str">
        <f t="shared" si="2"/>
        <v>Interoperabilidade</v>
      </c>
      <c r="K10" s="20"/>
      <c r="L10" s="20" t="str">
        <f t="shared" si="3"/>
        <v>interoperabilidade</v>
      </c>
      <c r="M10" s="18"/>
      <c r="N10" s="21" t="str">
        <f>IFERROR(__xludf.DUMMYFUNCTION("""COMPUTED_VALUE""")," Interoperabilidade")</f>
        <v> Interoperabilidade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</row>
    <row r="11">
      <c r="A11" s="22"/>
      <c r="B11" s="23"/>
      <c r="C11" s="24"/>
      <c r="D11" s="26"/>
      <c r="G11" s="25">
        <f t="shared" ref="G11:I11" si="10">G10</f>
        <v>2022</v>
      </c>
      <c r="H11" s="20" t="str">
        <f t="shared" si="10"/>
        <v>awsanr2022</v>
      </c>
      <c r="I11" s="20" t="str">
        <f t="shared" si="10"/>
        <v>A WEB SEMÂNTICA APLICADA NA RECUPERAÇÃO DE INFORMAÇÃO: Um Estudo de Caso no Contexto Estatístico de Uso de Livros Digitais por Alunos de Graduação</v>
      </c>
      <c r="J11" s="20" t="str">
        <f t="shared" si="2"/>
        <v>Acesso à informação</v>
      </c>
      <c r="K11" s="20"/>
      <c r="L11" s="20" t="str">
        <f t="shared" si="3"/>
        <v>acesso à informação</v>
      </c>
      <c r="M11" s="18"/>
      <c r="N11" s="21" t="str">
        <f>IFERROR(__xludf.DUMMYFUNCTION("""COMPUTED_VALUE""")," Acesso à informação")</f>
        <v> Acesso à informação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>
      <c r="A12" s="22"/>
      <c r="B12" s="23"/>
      <c r="C12" s="24"/>
      <c r="D12" s="26"/>
      <c r="G12" s="25">
        <f t="shared" ref="G12:I12" si="11">G11</f>
        <v>2022</v>
      </c>
      <c r="H12" s="20" t="str">
        <f t="shared" si="11"/>
        <v>awsanr2022</v>
      </c>
      <c r="I12" s="20" t="str">
        <f t="shared" si="11"/>
        <v>A WEB SEMÂNTICA APLICADA NA RECUPERAÇÃO DE INFORMAÇÃO: Um Estudo de Caso no Contexto Estatístico de Uso de Livros Digitais por Alunos de Graduação</v>
      </c>
      <c r="J12" s="20" t="str">
        <f t="shared" si="2"/>
        <v>Livros digitais</v>
      </c>
      <c r="K12" s="20"/>
      <c r="L12" s="20" t="str">
        <f t="shared" si="3"/>
        <v>livros digitais</v>
      </c>
      <c r="M12" s="18"/>
      <c r="N12" s="21" t="str">
        <f>IFERROR(__xludf.DUMMYFUNCTION("""COMPUTED_VALUE""")," Livros digitais")</f>
        <v> Livros digitais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</row>
    <row r="13">
      <c r="A13" s="8"/>
      <c r="B13" s="9"/>
      <c r="C13" s="10"/>
      <c r="D13" s="27"/>
      <c r="G13" s="25">
        <f t="shared" ref="G13:I13" si="12">G12</f>
        <v>2022</v>
      </c>
      <c r="H13" s="20" t="str">
        <f t="shared" si="12"/>
        <v>awsanr2022</v>
      </c>
      <c r="I13" s="20" t="str">
        <f t="shared" si="12"/>
        <v>A WEB SEMÂNTICA APLICADA NA RECUPERAÇÃO DE INFORMAÇÃO: Um Estudo de Caso no Contexto Estatístico de Uso de Livros Digitais por Alunos de Graduação</v>
      </c>
      <c r="J13" s="20" t="str">
        <f t="shared" si="2"/>
        <v/>
      </c>
      <c r="K13" s="20"/>
      <c r="L13" s="20" t="str">
        <f t="shared" si="3"/>
        <v/>
      </c>
      <c r="M13" s="18"/>
      <c r="N13" s="21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>
      <c r="A14" s="8" t="s">
        <v>54</v>
      </c>
      <c r="B14" s="9">
        <v>2022.0</v>
      </c>
      <c r="C14" s="10" t="s">
        <v>59</v>
      </c>
      <c r="D14" s="27" t="s">
        <v>60</v>
      </c>
      <c r="G14" s="12">
        <f>B14</f>
        <v>2022</v>
      </c>
      <c r="H14" s="13" t="str">
        <f>LOWER(left(O14,1)&amp;left(P14,1)&amp;left(Q14,1)&amp;left(R14,1)&amp;left(S14,1)&amp;left(T14,1))&amp;G14</f>
        <v>bmtfda2022</v>
      </c>
      <c r="I14" s="20" t="str">
        <f>trim(C14)</f>
        <v>BRASILIANA MUSEUS: teste funcional do agregador de dados museais do Instituto Brasileiro de Museus</v>
      </c>
      <c r="J14" s="20" t="str">
        <f t="shared" si="2"/>
        <v>Agregador</v>
      </c>
      <c r="K14" s="20"/>
      <c r="L14" s="20" t="str">
        <f t="shared" si="3"/>
        <v>agregador</v>
      </c>
      <c r="M14" s="18"/>
      <c r="N14" s="21" t="str">
        <f>IFERROR(__xludf.DUMMYFUNCTION("TRANSPOSE(split(D14,"";"",true,true))"),"Agregador")</f>
        <v>Agregador</v>
      </c>
      <c r="O14" s="6" t="str">
        <f>IFERROR(__xludf.DUMMYFUNCTION("split(C14,"" "")"),"BRASILIANA")</f>
        <v>BRASILIANA</v>
      </c>
      <c r="P14" s="18" t="str">
        <f>IFERROR(__xludf.DUMMYFUNCTION("""COMPUTED_VALUE"""),"MUSEUS:")</f>
        <v>MUSEUS:</v>
      </c>
      <c r="Q14" s="18" t="str">
        <f>IFERROR(__xludf.DUMMYFUNCTION("""COMPUTED_VALUE"""),"teste")</f>
        <v>teste</v>
      </c>
      <c r="R14" s="18" t="str">
        <f>IFERROR(__xludf.DUMMYFUNCTION("""COMPUTED_VALUE"""),"funcional")</f>
        <v>funcional</v>
      </c>
      <c r="S14" s="18" t="str">
        <f>IFERROR(__xludf.DUMMYFUNCTION("""COMPUTED_VALUE"""),"do")</f>
        <v>do</v>
      </c>
      <c r="T14" s="18" t="str">
        <f>IFERROR(__xludf.DUMMYFUNCTION("""COMPUTED_VALUE"""),"agregador")</f>
        <v>agregador</v>
      </c>
      <c r="U14" s="18" t="str">
        <f>IFERROR(__xludf.DUMMYFUNCTION("""COMPUTED_VALUE"""),"de")</f>
        <v>de</v>
      </c>
      <c r="V14" s="18" t="str">
        <f>IFERROR(__xludf.DUMMYFUNCTION("""COMPUTED_VALUE"""),"dados")</f>
        <v>dados</v>
      </c>
      <c r="W14" s="18" t="str">
        <f>IFERROR(__xludf.DUMMYFUNCTION("""COMPUTED_VALUE"""),"museais")</f>
        <v>museais</v>
      </c>
      <c r="X14" s="18" t="str">
        <f>IFERROR(__xludf.DUMMYFUNCTION("""COMPUTED_VALUE"""),"do")</f>
        <v>do</v>
      </c>
      <c r="Y14" s="18" t="str">
        <f>IFERROR(__xludf.DUMMYFUNCTION("""COMPUTED_VALUE"""),"Instituto")</f>
        <v>Instituto</v>
      </c>
      <c r="Z14" s="18" t="str">
        <f>IFERROR(__xludf.DUMMYFUNCTION("""COMPUTED_VALUE"""),"Brasileiro")</f>
        <v>Brasileiro</v>
      </c>
      <c r="AA14" s="18" t="str">
        <f>IFERROR(__xludf.DUMMYFUNCTION("""COMPUTED_VALUE"""),"de")</f>
        <v>de</v>
      </c>
      <c r="AB14" s="18" t="str">
        <f>IFERROR(__xludf.DUMMYFUNCTION("""COMPUTED_VALUE"""),"Museus")</f>
        <v>Museus</v>
      </c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</row>
    <row r="15">
      <c r="A15" s="22"/>
      <c r="B15" s="23"/>
      <c r="C15" s="24"/>
      <c r="D15" s="26"/>
      <c r="G15" s="25">
        <f t="shared" ref="G15:I15" si="13">G14</f>
        <v>2022</v>
      </c>
      <c r="H15" s="20" t="str">
        <f t="shared" si="13"/>
        <v>bmtfda2022</v>
      </c>
      <c r="I15" s="20" t="str">
        <f t="shared" si="13"/>
        <v>BRASILIANA MUSEUS: teste funcional do agregador de dados museais do Instituto Brasileiro de Museus</v>
      </c>
      <c r="J15" s="20" t="str">
        <f t="shared" si="2"/>
        <v>Brasiliana Museus</v>
      </c>
      <c r="K15" s="20"/>
      <c r="L15" s="20" t="str">
        <f t="shared" si="3"/>
        <v>brasiliana museus</v>
      </c>
      <c r="M15" s="18"/>
      <c r="N15" s="21" t="str">
        <f>IFERROR(__xludf.DUMMYFUNCTION("""COMPUTED_VALUE""")," Brasiliana Museus")</f>
        <v> Brasiliana Museus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</row>
    <row r="16">
      <c r="A16" s="22"/>
      <c r="B16" s="23"/>
      <c r="C16" s="24"/>
      <c r="D16" s="26"/>
      <c r="G16" s="25">
        <f t="shared" ref="G16:I16" si="14">G15</f>
        <v>2022</v>
      </c>
      <c r="H16" s="20" t="str">
        <f t="shared" si="14"/>
        <v>bmtfda2022</v>
      </c>
      <c r="I16" s="20" t="str">
        <f t="shared" si="14"/>
        <v>BRASILIANA MUSEUS: teste funcional do agregador de dados museais do Instituto Brasileiro de Museus</v>
      </c>
      <c r="J16" s="20" t="str">
        <f t="shared" si="2"/>
        <v>Tainacan</v>
      </c>
      <c r="K16" s="20"/>
      <c r="L16" s="20" t="str">
        <f t="shared" si="3"/>
        <v>tainacan</v>
      </c>
      <c r="M16" s="18"/>
      <c r="N16" s="21" t="str">
        <f>IFERROR(__xludf.DUMMYFUNCTION("""COMPUTED_VALUE""")," Tainacan")</f>
        <v> Tainacan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</row>
    <row r="17">
      <c r="A17" s="22"/>
      <c r="B17" s="23"/>
      <c r="C17" s="24"/>
      <c r="D17" s="26"/>
      <c r="G17" s="25">
        <f t="shared" ref="G17:I17" si="15">G16</f>
        <v>2022</v>
      </c>
      <c r="H17" s="20" t="str">
        <f t="shared" si="15"/>
        <v>bmtfda2022</v>
      </c>
      <c r="I17" s="20" t="str">
        <f t="shared" si="15"/>
        <v>BRASILIANA MUSEUS: teste funcional do agregador de dados museais do Instituto Brasileiro de Museus</v>
      </c>
      <c r="J17" s="20" t="str">
        <f t="shared" si="2"/>
        <v>Teste Funcional</v>
      </c>
      <c r="K17" s="20"/>
      <c r="L17" s="20" t="str">
        <f t="shared" si="3"/>
        <v>teste funcional</v>
      </c>
      <c r="M17" s="18"/>
      <c r="N17" s="21" t="str">
        <f>IFERROR(__xludf.DUMMYFUNCTION("""COMPUTED_VALUE""")," Teste Funcional")</f>
        <v> Teste Funcional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</row>
    <row r="18">
      <c r="A18" s="22"/>
      <c r="B18" s="23"/>
      <c r="C18" s="24"/>
      <c r="D18" s="28"/>
      <c r="E18" s="18"/>
      <c r="F18" s="18"/>
      <c r="G18" s="25">
        <f t="shared" ref="G18:I18" si="16">G17</f>
        <v>2022</v>
      </c>
      <c r="H18" s="20" t="str">
        <f t="shared" si="16"/>
        <v>bmtfda2022</v>
      </c>
      <c r="I18" s="20" t="str">
        <f t="shared" si="16"/>
        <v>BRASILIANA MUSEUS: teste funcional do agregador de dados museais do Instituto Brasileiro de Museus</v>
      </c>
      <c r="J18" s="20" t="str">
        <f t="shared" si="2"/>
        <v>Teste de Software</v>
      </c>
      <c r="K18" s="20"/>
      <c r="L18" s="20" t="str">
        <f t="shared" si="3"/>
        <v>teste de software</v>
      </c>
      <c r="M18" s="18"/>
      <c r="N18" s="21" t="str">
        <f>IFERROR(__xludf.DUMMYFUNCTION("""COMPUTED_VALUE""")," Teste de Software")</f>
        <v> Teste de Software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>
      <c r="A19" s="8"/>
      <c r="B19" s="9"/>
      <c r="C19" s="10"/>
      <c r="D19" s="10"/>
      <c r="E19" s="18"/>
      <c r="F19" s="18"/>
      <c r="G19" s="25">
        <f t="shared" ref="G19:I19" si="17">G18</f>
        <v>2022</v>
      </c>
      <c r="H19" s="20" t="str">
        <f t="shared" si="17"/>
        <v>bmtfda2022</v>
      </c>
      <c r="I19" s="20" t="str">
        <f t="shared" si="17"/>
        <v>BRASILIANA MUSEUS: teste funcional do agregador de dados museais do Instituto Brasileiro de Museus</v>
      </c>
      <c r="J19" s="20" t="str">
        <f t="shared" si="2"/>
        <v/>
      </c>
      <c r="K19" s="20"/>
      <c r="L19" s="20" t="str">
        <f t="shared" si="3"/>
        <v/>
      </c>
      <c r="M19" s="18"/>
      <c r="N19" s="21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</row>
    <row r="20">
      <c r="A20" s="8" t="s">
        <v>54</v>
      </c>
      <c r="B20" s="9">
        <v>2022.0</v>
      </c>
      <c r="C20" s="10" t="s">
        <v>61</v>
      </c>
      <c r="D20" s="10" t="s">
        <v>62</v>
      </c>
      <c r="E20" s="18"/>
      <c r="F20" s="18"/>
      <c r="G20" s="12">
        <f>B20</f>
        <v>2022</v>
      </c>
      <c r="H20" s="13" t="str">
        <f>LOWER(left(O20,1)&amp;left(P20,1)&amp;left(Q20,1)&amp;left(R20,1)&amp;left(S20,1)&amp;left(T20,1))&amp;G20</f>
        <v>hfbewp2022</v>
      </c>
      <c r="I20" s="20" t="str">
        <f>trim(C20)</f>
        <v>HL7 FHIR BASEADO EM W3C PROV PARA ALCANÇAR A PROVENIÊNCIA DE DADOS EM SISTEMAS DE INFORMAÇÃO EM SAÚDE</v>
      </c>
      <c r="J20" s="20" t="str">
        <f t="shared" si="2"/>
        <v>Proveniência de Dados</v>
      </c>
      <c r="K20" s="20"/>
      <c r="L20" s="20" t="str">
        <f t="shared" si="3"/>
        <v>proveniência de dados</v>
      </c>
      <c r="M20" s="18"/>
      <c r="N20" s="21" t="str">
        <f>IFERROR(__xludf.DUMMYFUNCTION("TRANSPOSE(split(D20,"";"",true,true))"),"Proveniência de Dados")</f>
        <v>Proveniência de Dados</v>
      </c>
      <c r="O20" s="6" t="str">
        <f>IFERROR(__xludf.DUMMYFUNCTION("split(C20,"" "")"),"HL7")</f>
        <v>HL7</v>
      </c>
      <c r="P20" s="18" t="str">
        <f>IFERROR(__xludf.DUMMYFUNCTION("""COMPUTED_VALUE"""),"FHIR")</f>
        <v>FHIR</v>
      </c>
      <c r="Q20" s="18" t="str">
        <f>IFERROR(__xludf.DUMMYFUNCTION("""COMPUTED_VALUE"""),"BASEADO")</f>
        <v>BASEADO</v>
      </c>
      <c r="R20" s="18" t="str">
        <f>IFERROR(__xludf.DUMMYFUNCTION("""COMPUTED_VALUE"""),"EM")</f>
        <v>EM</v>
      </c>
      <c r="S20" s="18" t="str">
        <f>IFERROR(__xludf.DUMMYFUNCTION("""COMPUTED_VALUE"""),"W3C")</f>
        <v>W3C</v>
      </c>
      <c r="T20" s="18" t="str">
        <f>IFERROR(__xludf.DUMMYFUNCTION("""COMPUTED_VALUE"""),"PROV")</f>
        <v>PROV</v>
      </c>
      <c r="U20" s="18" t="str">
        <f>IFERROR(__xludf.DUMMYFUNCTION("""COMPUTED_VALUE"""),"PARA")</f>
        <v>PARA</v>
      </c>
      <c r="V20" s="18" t="str">
        <f>IFERROR(__xludf.DUMMYFUNCTION("""COMPUTED_VALUE"""),"ALCANÇAR")</f>
        <v>ALCANÇAR</v>
      </c>
      <c r="W20" s="18" t="str">
        <f>IFERROR(__xludf.DUMMYFUNCTION("""COMPUTED_VALUE"""),"A")</f>
        <v>A</v>
      </c>
      <c r="X20" s="18" t="str">
        <f>IFERROR(__xludf.DUMMYFUNCTION("""COMPUTED_VALUE"""),"PROVENIÊNCIA")</f>
        <v>PROVENIÊNCIA</v>
      </c>
      <c r="Y20" s="18" t="str">
        <f>IFERROR(__xludf.DUMMYFUNCTION("""COMPUTED_VALUE"""),"DE")</f>
        <v>DE</v>
      </c>
      <c r="Z20" s="18" t="str">
        <f>IFERROR(__xludf.DUMMYFUNCTION("""COMPUTED_VALUE"""),"DADOS")</f>
        <v>DADOS</v>
      </c>
      <c r="AA20" s="18" t="str">
        <f>IFERROR(__xludf.DUMMYFUNCTION("""COMPUTED_VALUE"""),"EM")</f>
        <v>EM</v>
      </c>
      <c r="AB20" s="18" t="str">
        <f>IFERROR(__xludf.DUMMYFUNCTION("""COMPUTED_VALUE"""),"SISTEMAS")</f>
        <v>SISTEMAS</v>
      </c>
      <c r="AC20" s="18" t="str">
        <f>IFERROR(__xludf.DUMMYFUNCTION("""COMPUTED_VALUE"""),"DE")</f>
        <v>DE</v>
      </c>
      <c r="AD20" s="18" t="str">
        <f>IFERROR(__xludf.DUMMYFUNCTION("""COMPUTED_VALUE"""),"INFORMAÇÃO")</f>
        <v>INFORMAÇÃO</v>
      </c>
      <c r="AE20" s="18" t="str">
        <f>IFERROR(__xludf.DUMMYFUNCTION("""COMPUTED_VALUE"""),"EM")</f>
        <v>EM</v>
      </c>
      <c r="AF20" s="18" t="str">
        <f>IFERROR(__xludf.DUMMYFUNCTION("""COMPUTED_VALUE"""),"SAÚDE")</f>
        <v>SAÚDE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</row>
    <row r="21">
      <c r="A21" s="22"/>
      <c r="B21" s="23"/>
      <c r="C21" s="24"/>
      <c r="D21" s="28"/>
      <c r="E21" s="18"/>
      <c r="F21" s="18"/>
      <c r="G21" s="25">
        <f t="shared" ref="G21:I21" si="18">G20</f>
        <v>2022</v>
      </c>
      <c r="H21" s="20" t="str">
        <f t="shared" si="18"/>
        <v>hfbewp2022</v>
      </c>
      <c r="I21" s="20" t="str">
        <f t="shared" si="18"/>
        <v>HL7 FHIR BASEADO EM W3C PROV PARA ALCANÇAR A PROVENIÊNCIA DE DADOS EM SISTEMAS DE INFORMAÇÃO EM SAÚDE</v>
      </c>
      <c r="J21" s="20" t="str">
        <f t="shared" si="2"/>
        <v>W3C PROV</v>
      </c>
      <c r="K21" s="20"/>
      <c r="L21" s="20" t="str">
        <f t="shared" si="3"/>
        <v>w3c prov</v>
      </c>
      <c r="M21" s="18"/>
      <c r="N21" s="21" t="str">
        <f>IFERROR(__xludf.DUMMYFUNCTION("""COMPUTED_VALUE""")," W3C PROV")</f>
        <v> W3C PROV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</row>
    <row r="22">
      <c r="A22" s="22"/>
      <c r="B22" s="23"/>
      <c r="C22" s="24"/>
      <c r="D22" s="28"/>
      <c r="E22" s="18"/>
      <c r="F22" s="18"/>
      <c r="G22" s="25">
        <f t="shared" ref="G22:I22" si="19">G21</f>
        <v>2022</v>
      </c>
      <c r="H22" s="20" t="str">
        <f t="shared" si="19"/>
        <v>hfbewp2022</v>
      </c>
      <c r="I22" s="20" t="str">
        <f t="shared" si="19"/>
        <v>HL7 FHIR BASEADO EM W3C PROV PARA ALCANÇAR A PROVENIÊNCIA DE DADOS EM SISTEMAS DE INFORMAÇÃO EM SAÚDE</v>
      </c>
      <c r="J22" s="20" t="str">
        <f t="shared" si="2"/>
        <v>Sistemas de Informação em Saúde</v>
      </c>
      <c r="K22" s="20"/>
      <c r="L22" s="20" t="str">
        <f t="shared" si="3"/>
        <v>sistemas de informação em saúde</v>
      </c>
      <c r="M22" s="18"/>
      <c r="N22" s="21" t="str">
        <f>IFERROR(__xludf.DUMMYFUNCTION("""COMPUTED_VALUE""")," Sistemas de Informação em Saúde")</f>
        <v> Sistemas de Informação em Saúde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</row>
    <row r="23">
      <c r="A23" s="22"/>
      <c r="B23" s="23"/>
      <c r="C23" s="24"/>
      <c r="D23" s="28"/>
      <c r="E23" s="18"/>
      <c r="F23" s="18"/>
      <c r="G23" s="25">
        <f t="shared" ref="G23:I23" si="20">G22</f>
        <v>2022</v>
      </c>
      <c r="H23" s="20" t="str">
        <f t="shared" si="20"/>
        <v>hfbewp2022</v>
      </c>
      <c r="I23" s="20" t="str">
        <f t="shared" si="20"/>
        <v>HL7 FHIR BASEADO EM W3C PROV PARA ALCANÇAR A PROVENIÊNCIA DE DADOS EM SISTEMAS DE INFORMAÇÃO EM SAÚDE</v>
      </c>
      <c r="J23" s="20" t="str">
        <f t="shared" si="2"/>
        <v>Interoperabilidade</v>
      </c>
      <c r="K23" s="20"/>
      <c r="L23" s="20" t="str">
        <f t="shared" si="3"/>
        <v>interoperabilidade</v>
      </c>
      <c r="M23" s="18"/>
      <c r="N23" s="21" t="str">
        <f>IFERROR(__xludf.DUMMYFUNCTION("""COMPUTED_VALUE""")," Interoperabilidade")</f>
        <v> Interoperabilidade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</row>
    <row r="24">
      <c r="A24" s="22"/>
      <c r="B24" s="23"/>
      <c r="C24" s="24"/>
      <c r="D24" s="28"/>
      <c r="E24" s="18"/>
      <c r="F24" s="18"/>
      <c r="G24" s="25">
        <f t="shared" ref="G24:I24" si="21">G23</f>
        <v>2022</v>
      </c>
      <c r="H24" s="20" t="str">
        <f t="shared" si="21"/>
        <v>hfbewp2022</v>
      </c>
      <c r="I24" s="20" t="str">
        <f t="shared" si="21"/>
        <v>HL7 FHIR BASEADO EM W3C PROV PARA ALCANÇAR A PROVENIÊNCIA DE DADOS EM SISTEMAS DE INFORMAÇÃO EM SAÚDE</v>
      </c>
      <c r="J24" s="20" t="str">
        <f t="shared" si="2"/>
        <v>HL7 FHIR</v>
      </c>
      <c r="K24" s="20"/>
      <c r="L24" s="20" t="str">
        <f t="shared" si="3"/>
        <v>hl7 fhir</v>
      </c>
      <c r="M24" s="18"/>
      <c r="N24" s="21" t="str">
        <f>IFERROR(__xludf.DUMMYFUNCTION("""COMPUTED_VALUE""")," HL7 FHIR")</f>
        <v> HL7 FHIR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</row>
    <row r="25">
      <c r="A25" s="8"/>
      <c r="B25" s="9"/>
      <c r="C25" s="10"/>
      <c r="D25" s="10"/>
      <c r="E25" s="18"/>
      <c r="F25" s="18"/>
      <c r="G25" s="25">
        <f t="shared" ref="G25:I25" si="22">G24</f>
        <v>2022</v>
      </c>
      <c r="H25" s="20" t="str">
        <f t="shared" si="22"/>
        <v>hfbewp2022</v>
      </c>
      <c r="I25" s="20" t="str">
        <f t="shared" si="22"/>
        <v>HL7 FHIR BASEADO EM W3C PROV PARA ALCANÇAR A PROVENIÊNCIA DE DADOS EM SISTEMAS DE INFORMAÇÃO EM SAÚDE</v>
      </c>
      <c r="J25" s="20" t="str">
        <f t="shared" si="2"/>
        <v/>
      </c>
      <c r="K25" s="20"/>
      <c r="L25" s="20" t="str">
        <f t="shared" si="3"/>
        <v/>
      </c>
      <c r="M25" s="18"/>
      <c r="N25" s="2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</row>
    <row r="26">
      <c r="A26" s="8" t="s">
        <v>54</v>
      </c>
      <c r="B26" s="9">
        <v>2022.0</v>
      </c>
      <c r="C26" s="10" t="s">
        <v>63</v>
      </c>
      <c r="D26" s="10" t="s">
        <v>64</v>
      </c>
      <c r="E26" s="18"/>
      <c r="F26" s="18"/>
      <c r="G26" s="12">
        <f>B26</f>
        <v>2022</v>
      </c>
      <c r="H26" s="13" t="str">
        <f>LOWER(left(O26,1)&amp;left(P26,1)&amp;left(Q26,1)&amp;left(R26,1)&amp;left(S26,1)&amp;left(T26,1))&amp;G26</f>
        <v>iuppob2022</v>
      </c>
      <c r="I26" s="20" t="str">
        <f>trim(C26)</f>
        <v>IMAGO: uma proposta para o banco de imagens do Instituto Brasileiro de Informação em Ciência e Tecnologia</v>
      </c>
      <c r="J26" s="20" t="str">
        <f t="shared" si="2"/>
        <v>ciência e tecnologia</v>
      </c>
      <c r="K26" s="20"/>
      <c r="L26" s="20" t="str">
        <f t="shared" si="3"/>
        <v>ciência e tecnologia</v>
      </c>
      <c r="M26" s="18"/>
      <c r="N26" s="21" t="str">
        <f>IFERROR(__xludf.DUMMYFUNCTION("TRANSPOSE(split(D26,"";"",true,true))"),"ciência e tecnologia")</f>
        <v>ciência e tecnologia</v>
      </c>
      <c r="O26" s="6" t="str">
        <f>IFERROR(__xludf.DUMMYFUNCTION("split(C26,"" "")"),"IMAGO:")</f>
        <v>IMAGO:</v>
      </c>
      <c r="P26" s="18" t="str">
        <f>IFERROR(__xludf.DUMMYFUNCTION("""COMPUTED_VALUE"""),"uma")</f>
        <v>uma</v>
      </c>
      <c r="Q26" s="18" t="str">
        <f>IFERROR(__xludf.DUMMYFUNCTION("""COMPUTED_VALUE"""),"proposta")</f>
        <v>proposta</v>
      </c>
      <c r="R26" s="18" t="str">
        <f>IFERROR(__xludf.DUMMYFUNCTION("""COMPUTED_VALUE"""),"para")</f>
        <v>para</v>
      </c>
      <c r="S26" s="18" t="str">
        <f>IFERROR(__xludf.DUMMYFUNCTION("""COMPUTED_VALUE"""),"o")</f>
        <v>o</v>
      </c>
      <c r="T26" s="18" t="str">
        <f>IFERROR(__xludf.DUMMYFUNCTION("""COMPUTED_VALUE"""),"banco")</f>
        <v>banco</v>
      </c>
      <c r="U26" s="18" t="str">
        <f>IFERROR(__xludf.DUMMYFUNCTION("""COMPUTED_VALUE"""),"de")</f>
        <v>de</v>
      </c>
      <c r="V26" s="18" t="str">
        <f>IFERROR(__xludf.DUMMYFUNCTION("""COMPUTED_VALUE"""),"imagens")</f>
        <v>imagens</v>
      </c>
      <c r="W26" s="18" t="str">
        <f>IFERROR(__xludf.DUMMYFUNCTION("""COMPUTED_VALUE"""),"do")</f>
        <v>do</v>
      </c>
      <c r="X26" s="18" t="str">
        <f>IFERROR(__xludf.DUMMYFUNCTION("""COMPUTED_VALUE"""),"Instituto")</f>
        <v>Instituto</v>
      </c>
      <c r="Y26" s="18" t="str">
        <f>IFERROR(__xludf.DUMMYFUNCTION("""COMPUTED_VALUE"""),"Brasileiro")</f>
        <v>Brasileiro</v>
      </c>
      <c r="Z26" s="18" t="str">
        <f>IFERROR(__xludf.DUMMYFUNCTION("""COMPUTED_VALUE"""),"de")</f>
        <v>de</v>
      </c>
      <c r="AA26" s="18" t="str">
        <f>IFERROR(__xludf.DUMMYFUNCTION("""COMPUTED_VALUE"""),"Informação")</f>
        <v>Informação</v>
      </c>
      <c r="AB26" s="18" t="str">
        <f>IFERROR(__xludf.DUMMYFUNCTION("""COMPUTED_VALUE"""),"em")</f>
        <v>em</v>
      </c>
      <c r="AC26" s="18" t="str">
        <f>IFERROR(__xludf.DUMMYFUNCTION("""COMPUTED_VALUE"""),"Ciência")</f>
        <v>Ciência</v>
      </c>
      <c r="AD26" s="18" t="str">
        <f>IFERROR(__xludf.DUMMYFUNCTION("""COMPUTED_VALUE"""),"e")</f>
        <v>e</v>
      </c>
      <c r="AE26" s="18" t="str">
        <f>IFERROR(__xludf.DUMMYFUNCTION("""COMPUTED_VALUE"""),"Tecnologia")</f>
        <v>Tecnologia</v>
      </c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</row>
    <row r="27">
      <c r="A27" s="22"/>
      <c r="B27" s="23"/>
      <c r="C27" s="24"/>
      <c r="D27" s="28"/>
      <c r="E27" s="18"/>
      <c r="F27" s="18"/>
      <c r="G27" s="25">
        <f t="shared" ref="G27:I27" si="23">G26</f>
        <v>2022</v>
      </c>
      <c r="H27" s="20" t="str">
        <f t="shared" si="23"/>
        <v>iuppob2022</v>
      </c>
      <c r="I27" s="20" t="str">
        <f t="shared" si="23"/>
        <v>IMAGO: uma proposta para o banco de imagens do Instituto Brasileiro de Informação em Ciência e Tecnologia</v>
      </c>
      <c r="J27" s="20" t="str">
        <f t="shared" si="2"/>
        <v>banco de imagens</v>
      </c>
      <c r="K27" s="20"/>
      <c r="L27" s="20" t="str">
        <f t="shared" si="3"/>
        <v>banco de imagens</v>
      </c>
      <c r="M27" s="18"/>
      <c r="N27" s="21" t="str">
        <f>IFERROR(__xludf.DUMMYFUNCTION("""COMPUTED_VALUE""")," banco de imagens")</f>
        <v> banco de imagens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</row>
    <row r="28">
      <c r="A28" s="22"/>
      <c r="B28" s="23"/>
      <c r="C28" s="24"/>
      <c r="D28" s="28"/>
      <c r="E28" s="18"/>
      <c r="F28" s="18"/>
      <c r="G28" s="25">
        <f t="shared" ref="G28:I28" si="24">G27</f>
        <v>2022</v>
      </c>
      <c r="H28" s="20" t="str">
        <f t="shared" si="24"/>
        <v>iuppob2022</v>
      </c>
      <c r="I28" s="20" t="str">
        <f t="shared" si="24"/>
        <v>IMAGO: uma proposta para o banco de imagens do Instituto Brasileiro de Informação em Ciência e Tecnologia</v>
      </c>
      <c r="J28" s="20" t="str">
        <f t="shared" si="2"/>
        <v>critérios de avaliação</v>
      </c>
      <c r="K28" s="20"/>
      <c r="L28" s="20" t="str">
        <f t="shared" si="3"/>
        <v>critérios de avaliação</v>
      </c>
      <c r="M28" s="18"/>
      <c r="N28" s="21" t="str">
        <f>IFERROR(__xludf.DUMMYFUNCTION("""COMPUTED_VALUE""")," critérios de avaliação")</f>
        <v> critérios de avaliação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</row>
    <row r="29">
      <c r="A29" s="22"/>
      <c r="B29" s="23"/>
      <c r="C29" s="24"/>
      <c r="D29" s="28"/>
      <c r="E29" s="18"/>
      <c r="F29" s="18"/>
      <c r="G29" s="25">
        <f t="shared" ref="G29:I29" si="25">G28</f>
        <v>2022</v>
      </c>
      <c r="H29" s="20" t="str">
        <f t="shared" si="25"/>
        <v>iuppob2022</v>
      </c>
      <c r="I29" s="20" t="str">
        <f t="shared" si="25"/>
        <v>IMAGO: uma proposta para o banco de imagens do Instituto Brasileiro de Informação em Ciência e Tecnologia</v>
      </c>
      <c r="J29" s="20" t="str">
        <f t="shared" si="2"/>
        <v>diretrizes de utilização</v>
      </c>
      <c r="K29" s="20"/>
      <c r="L29" s="20" t="str">
        <f t="shared" si="3"/>
        <v>diretrizes de utilização</v>
      </c>
      <c r="M29" s="18"/>
      <c r="N29" s="21" t="str">
        <f>IFERROR(__xludf.DUMMYFUNCTION("""COMPUTED_VALUE""")," diretrizes de utilização")</f>
        <v> diretrizes de utilização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</row>
    <row r="30">
      <c r="A30" s="22"/>
      <c r="B30" s="23"/>
      <c r="C30" s="24"/>
      <c r="D30" s="28"/>
      <c r="E30" s="18"/>
      <c r="F30" s="18"/>
      <c r="G30" s="25">
        <f t="shared" ref="G30:I30" si="26">G29</f>
        <v>2022</v>
      </c>
      <c r="H30" s="20" t="str">
        <f t="shared" si="26"/>
        <v>iuppob2022</v>
      </c>
      <c r="I30" s="20" t="str">
        <f t="shared" si="26"/>
        <v>IMAGO: uma proposta para o banco de imagens do Instituto Brasileiro de Informação em Ciência e Tecnologia</v>
      </c>
      <c r="J30" s="20" t="str">
        <f t="shared" si="2"/>
        <v/>
      </c>
      <c r="K30" s="20"/>
      <c r="L30" s="20" t="str">
        <f t="shared" si="3"/>
        <v/>
      </c>
      <c r="M30" s="18"/>
      <c r="N30" s="21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</row>
    <row r="31">
      <c r="A31" s="8"/>
      <c r="B31" s="9"/>
      <c r="C31" s="10"/>
      <c r="D31" s="10"/>
      <c r="E31" s="18"/>
      <c r="F31" s="18"/>
      <c r="G31" s="25">
        <f t="shared" ref="G31:I31" si="27">G30</f>
        <v>2022</v>
      </c>
      <c r="H31" s="20" t="str">
        <f t="shared" si="27"/>
        <v>iuppob2022</v>
      </c>
      <c r="I31" s="20" t="str">
        <f t="shared" si="27"/>
        <v>IMAGO: uma proposta para o banco de imagens do Instituto Brasileiro de Informação em Ciência e Tecnologia</v>
      </c>
      <c r="J31" s="20" t="str">
        <f t="shared" si="2"/>
        <v/>
      </c>
      <c r="K31" s="20"/>
      <c r="L31" s="20" t="str">
        <f t="shared" si="3"/>
        <v/>
      </c>
      <c r="M31" s="18"/>
      <c r="N31" s="21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</row>
    <row r="32">
      <c r="A32" s="8" t="s">
        <v>54</v>
      </c>
      <c r="B32" s="9">
        <v>2022.0</v>
      </c>
      <c r="C32" s="10" t="s">
        <v>65</v>
      </c>
      <c r="D32" s="10" t="s">
        <v>66</v>
      </c>
      <c r="E32" s="18"/>
      <c r="F32" s="18"/>
      <c r="G32" s="12">
        <f>B32</f>
        <v>2022</v>
      </c>
      <c r="H32" s="13" t="str">
        <f>LOWER(left(O32,1)&amp;left(P32,1)&amp;left(Q32,1)&amp;left(R32,1)&amp;left(S32,1)&amp;left(T32,1))&amp;G32</f>
        <v>máncdi2022</v>
      </c>
      <c r="I32" s="20" t="str">
        <f>trim(C32)</f>
        <v>Métodos Ágeis na Ciência da Informação: Ensino do Scrum</v>
      </c>
      <c r="J32" s="20" t="str">
        <f t="shared" si="2"/>
        <v>Métodos ágeis</v>
      </c>
      <c r="K32" s="20"/>
      <c r="L32" s="20" t="str">
        <f t="shared" si="3"/>
        <v>métodos ágeis</v>
      </c>
      <c r="M32" s="18"/>
      <c r="N32" s="21" t="str">
        <f>IFERROR(__xludf.DUMMYFUNCTION("TRANSPOSE(split(D32,"";"",true,true))"),"Métodos ágeis")</f>
        <v>Métodos ágeis</v>
      </c>
      <c r="O32" s="6" t="str">
        <f>IFERROR(__xludf.DUMMYFUNCTION("split(C32,"" "")"),"Métodos")</f>
        <v>Métodos</v>
      </c>
      <c r="P32" s="18" t="str">
        <f>IFERROR(__xludf.DUMMYFUNCTION("""COMPUTED_VALUE"""),"Ágeis")</f>
        <v>Ágeis</v>
      </c>
      <c r="Q32" s="18" t="str">
        <f>IFERROR(__xludf.DUMMYFUNCTION("""COMPUTED_VALUE"""),"na")</f>
        <v>na</v>
      </c>
      <c r="R32" s="18" t="str">
        <f>IFERROR(__xludf.DUMMYFUNCTION("""COMPUTED_VALUE"""),"Ciência")</f>
        <v>Ciência</v>
      </c>
      <c r="S32" s="18" t="str">
        <f>IFERROR(__xludf.DUMMYFUNCTION("""COMPUTED_VALUE"""),"da")</f>
        <v>da</v>
      </c>
      <c r="T32" s="18" t="str">
        <f>IFERROR(__xludf.DUMMYFUNCTION("""COMPUTED_VALUE"""),"Informação:")</f>
        <v>Informação:</v>
      </c>
      <c r="U32" s="18" t="str">
        <f>IFERROR(__xludf.DUMMYFUNCTION("""COMPUTED_VALUE"""),"Ensino")</f>
        <v>Ensino</v>
      </c>
      <c r="V32" s="18" t="str">
        <f>IFERROR(__xludf.DUMMYFUNCTION("""COMPUTED_VALUE"""),"do")</f>
        <v>do</v>
      </c>
      <c r="W32" s="18" t="str">
        <f>IFERROR(__xludf.DUMMYFUNCTION("""COMPUTED_VALUE"""),"Scrum")</f>
        <v>Scrum</v>
      </c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</row>
    <row r="33">
      <c r="A33" s="22"/>
      <c r="B33" s="23"/>
      <c r="C33" s="24"/>
      <c r="D33" s="28"/>
      <c r="E33" s="18"/>
      <c r="F33" s="18"/>
      <c r="G33" s="25">
        <f t="shared" ref="G33:I33" si="28">G32</f>
        <v>2022</v>
      </c>
      <c r="H33" s="20" t="str">
        <f t="shared" si="28"/>
        <v>máncdi2022</v>
      </c>
      <c r="I33" s="20" t="str">
        <f t="shared" si="28"/>
        <v>Métodos Ágeis na Ciência da Informação: Ensino do Scrum</v>
      </c>
      <c r="J33" s="20" t="str">
        <f t="shared" si="2"/>
        <v>Scrum</v>
      </c>
      <c r="K33" s="20"/>
      <c r="L33" s="20" t="str">
        <f t="shared" si="3"/>
        <v>scrum</v>
      </c>
      <c r="M33" s="18"/>
      <c r="N33" s="21" t="str">
        <f>IFERROR(__xludf.DUMMYFUNCTION("""COMPUTED_VALUE""")," Scrum")</f>
        <v> Scrum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</row>
    <row r="34">
      <c r="A34" s="22"/>
      <c r="B34" s="23"/>
      <c r="C34" s="24"/>
      <c r="D34" s="28"/>
      <c r="E34" s="18"/>
      <c r="F34" s="18"/>
      <c r="G34" s="25">
        <f t="shared" ref="G34:I34" si="29">G33</f>
        <v>2022</v>
      </c>
      <c r="H34" s="20" t="str">
        <f t="shared" si="29"/>
        <v>máncdi2022</v>
      </c>
      <c r="I34" s="20" t="str">
        <f t="shared" si="29"/>
        <v>Métodos Ágeis na Ciência da Informação: Ensino do Scrum</v>
      </c>
      <c r="J34" s="20" t="str">
        <f t="shared" si="2"/>
        <v>Ciência da Informação</v>
      </c>
      <c r="K34" s="20"/>
      <c r="L34" s="20" t="str">
        <f t="shared" si="3"/>
        <v>ciência da informação</v>
      </c>
      <c r="M34" s="18"/>
      <c r="N34" s="21" t="str">
        <f>IFERROR(__xludf.DUMMYFUNCTION("""COMPUTED_VALUE""")," Ciência da Informação")</f>
        <v> Ciência da Informação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</row>
    <row r="35">
      <c r="A35" s="22"/>
      <c r="B35" s="23"/>
      <c r="C35" s="24"/>
      <c r="D35" s="28"/>
      <c r="E35" s="18"/>
      <c r="F35" s="18"/>
      <c r="G35" s="25">
        <f t="shared" ref="G35:I35" si="30">G34</f>
        <v>2022</v>
      </c>
      <c r="H35" s="20" t="str">
        <f t="shared" si="30"/>
        <v>máncdi2022</v>
      </c>
      <c r="I35" s="20" t="str">
        <f t="shared" si="30"/>
        <v>Métodos Ágeis na Ciência da Informação: Ensino do Scrum</v>
      </c>
      <c r="J35" s="20" t="str">
        <f t="shared" si="2"/>
        <v>Profissional da Informação</v>
      </c>
      <c r="K35" s="20"/>
      <c r="L35" s="20" t="str">
        <f t="shared" si="3"/>
        <v>profissional da informação</v>
      </c>
      <c r="M35" s="18"/>
      <c r="N35" s="21" t="str">
        <f>IFERROR(__xludf.DUMMYFUNCTION("""COMPUTED_VALUE""")," Profissional da Informação")</f>
        <v> Profissional da Informação</v>
      </c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</row>
    <row r="36">
      <c r="A36" s="22"/>
      <c r="B36" s="23"/>
      <c r="C36" s="24"/>
      <c r="D36" s="26"/>
      <c r="E36" s="18"/>
      <c r="F36" s="18"/>
      <c r="G36" s="25">
        <f t="shared" ref="G36:I36" si="31">G35</f>
        <v>2022</v>
      </c>
      <c r="H36" s="20" t="str">
        <f t="shared" si="31"/>
        <v>máncdi2022</v>
      </c>
      <c r="I36" s="20" t="str">
        <f t="shared" si="31"/>
        <v>Métodos Ágeis na Ciência da Informação: Ensino do Scrum</v>
      </c>
      <c r="J36" s="20" t="str">
        <f t="shared" si="2"/>
        <v>Competência em dados</v>
      </c>
      <c r="K36" s="20"/>
      <c r="L36" s="20" t="str">
        <f t="shared" si="3"/>
        <v>competência em dados</v>
      </c>
      <c r="M36" s="18"/>
      <c r="N36" s="21" t="str">
        <f>IFERROR(__xludf.DUMMYFUNCTION("""COMPUTED_VALUE""")," Competência em dados")</f>
        <v> Competência em dados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</row>
    <row r="37">
      <c r="A37" s="8"/>
      <c r="B37" s="9"/>
      <c r="C37" s="10"/>
      <c r="D37" s="10"/>
      <c r="E37" s="18"/>
      <c r="F37" s="18"/>
      <c r="G37" s="25">
        <f t="shared" ref="G37:I37" si="32">G36</f>
        <v>2022</v>
      </c>
      <c r="H37" s="20" t="str">
        <f t="shared" si="32"/>
        <v>máncdi2022</v>
      </c>
      <c r="I37" s="20" t="str">
        <f t="shared" si="32"/>
        <v>Métodos Ágeis na Ciência da Informação: Ensino do Scrum</v>
      </c>
      <c r="J37" s="20" t="str">
        <f t="shared" si="2"/>
        <v/>
      </c>
      <c r="K37" s="20"/>
      <c r="L37" s="20" t="str">
        <f t="shared" si="3"/>
        <v/>
      </c>
      <c r="M37" s="18"/>
      <c r="N37" s="21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</row>
    <row r="38">
      <c r="A38" s="8" t="s">
        <v>54</v>
      </c>
      <c r="B38" s="9">
        <v>2022.0</v>
      </c>
      <c r="C38" s="10" t="s">
        <v>67</v>
      </c>
      <c r="D38" s="10" t="s">
        <v>68</v>
      </c>
      <c r="E38" s="18"/>
      <c r="F38" s="18"/>
      <c r="G38" s="12">
        <f>B38</f>
        <v>2022</v>
      </c>
      <c r="H38" s="13" t="str">
        <f>LOWER(left(O38,1)&amp;left(P38,1)&amp;left(Q38,1)&amp;left(R38,1)&amp;left(S38,1)&amp;left(T38,1))&amp;G38</f>
        <v>ododac2022</v>
      </c>
      <c r="I38" s="20" t="str">
        <f>trim(C38)</f>
        <v>ORGANIZAÇÃO DE OBJETOS DE APRENDIZAGEM COM BASE NO PADRÃO LOM-IEEE UTILIZANDO DADOS LIGADOS INTEROPERÁVEIS NA WEB SEMÂNTICA</v>
      </c>
      <c r="J38" s="20" t="str">
        <f t="shared" si="2"/>
        <v>Objetos de aprendizagem</v>
      </c>
      <c r="K38" s="20"/>
      <c r="L38" s="20" t="str">
        <f t="shared" si="3"/>
        <v>objetos de aprendizagem</v>
      </c>
      <c r="M38" s="18"/>
      <c r="N38" s="21" t="str">
        <f>IFERROR(__xludf.DUMMYFUNCTION("TRANSPOSE(split(D38,"";"",true,true))"),"Objetos de aprendizagem")</f>
        <v>Objetos de aprendizagem</v>
      </c>
      <c r="O38" s="6" t="str">
        <f>IFERROR(__xludf.DUMMYFUNCTION("split(C38,"" "")"),"ORGANIZAÇÃO")</f>
        <v>ORGANIZAÇÃO</v>
      </c>
      <c r="P38" s="18" t="str">
        <f>IFERROR(__xludf.DUMMYFUNCTION("""COMPUTED_VALUE"""),"DE")</f>
        <v>DE</v>
      </c>
      <c r="Q38" s="18" t="str">
        <f>IFERROR(__xludf.DUMMYFUNCTION("""COMPUTED_VALUE"""),"OBJETOS")</f>
        <v>OBJETOS</v>
      </c>
      <c r="R38" s="18" t="str">
        <f>IFERROR(__xludf.DUMMYFUNCTION("""COMPUTED_VALUE"""),"DE")</f>
        <v>DE</v>
      </c>
      <c r="S38" s="18" t="str">
        <f>IFERROR(__xludf.DUMMYFUNCTION("""COMPUTED_VALUE"""),"APRENDIZAGEM")</f>
        <v>APRENDIZAGEM</v>
      </c>
      <c r="T38" s="18" t="str">
        <f>IFERROR(__xludf.DUMMYFUNCTION("""COMPUTED_VALUE"""),"COM")</f>
        <v>COM</v>
      </c>
      <c r="U38" s="18" t="str">
        <f>IFERROR(__xludf.DUMMYFUNCTION("""COMPUTED_VALUE"""),"BASE")</f>
        <v>BASE</v>
      </c>
      <c r="V38" s="18" t="str">
        <f>IFERROR(__xludf.DUMMYFUNCTION("""COMPUTED_VALUE"""),"NO")</f>
        <v>NO</v>
      </c>
      <c r="W38" s="18" t="str">
        <f>IFERROR(__xludf.DUMMYFUNCTION("""COMPUTED_VALUE"""),"PADRÃO")</f>
        <v>PADRÃO</v>
      </c>
      <c r="X38" s="18" t="str">
        <f>IFERROR(__xludf.DUMMYFUNCTION("""COMPUTED_VALUE"""),"LOM-IEEE")</f>
        <v>LOM-IEEE</v>
      </c>
      <c r="Y38" s="18" t="str">
        <f>IFERROR(__xludf.DUMMYFUNCTION("""COMPUTED_VALUE"""),"UTILIZANDO")</f>
        <v>UTILIZANDO</v>
      </c>
      <c r="Z38" s="18" t="str">
        <f>IFERROR(__xludf.DUMMYFUNCTION("""COMPUTED_VALUE"""),"DADOS")</f>
        <v>DADOS</v>
      </c>
      <c r="AA38" s="18" t="str">
        <f>IFERROR(__xludf.DUMMYFUNCTION("""COMPUTED_VALUE"""),"LIGADOS")</f>
        <v>LIGADOS</v>
      </c>
      <c r="AB38" s="18" t="str">
        <f>IFERROR(__xludf.DUMMYFUNCTION("""COMPUTED_VALUE"""),"INTEROPERÁVEIS")</f>
        <v>INTEROPERÁVEIS</v>
      </c>
      <c r="AC38" s="18" t="str">
        <f>IFERROR(__xludf.DUMMYFUNCTION("""COMPUTED_VALUE"""),"NA")</f>
        <v>NA</v>
      </c>
      <c r="AD38" s="18" t="str">
        <f>IFERROR(__xludf.DUMMYFUNCTION("""COMPUTED_VALUE"""),"WEB")</f>
        <v>WEB</v>
      </c>
      <c r="AE38" s="18" t="str">
        <f>IFERROR(__xludf.DUMMYFUNCTION("""COMPUTED_VALUE"""),"SEMÂNTICA")</f>
        <v>SEMÂNTICA</v>
      </c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</row>
    <row r="39">
      <c r="A39" s="22"/>
      <c r="B39" s="23"/>
      <c r="C39" s="24"/>
      <c r="D39" s="24"/>
      <c r="E39" s="18"/>
      <c r="F39" s="18"/>
      <c r="G39" s="25">
        <f t="shared" ref="G39:I39" si="33">G38</f>
        <v>2022</v>
      </c>
      <c r="H39" s="20" t="str">
        <f t="shared" si="33"/>
        <v>ododac2022</v>
      </c>
      <c r="I39" s="20" t="str">
        <f t="shared" si="33"/>
        <v>ORGANIZAÇÃO DE OBJETOS DE APRENDIZAGEM COM BASE NO PADRÃO LOM-IEEE UTILIZANDO DADOS LIGADOS INTEROPERÁVEIS NA WEB SEMÂNTICA</v>
      </c>
      <c r="J39" s="20" t="str">
        <f t="shared" si="2"/>
        <v>Organização do conhecimento</v>
      </c>
      <c r="K39" s="20"/>
      <c r="L39" s="20" t="str">
        <f t="shared" si="3"/>
        <v>organização do conhecimento</v>
      </c>
      <c r="M39" s="18"/>
      <c r="N39" s="21" t="str">
        <f>IFERROR(__xludf.DUMMYFUNCTION("""COMPUTED_VALUE""")," Organização do conhecimento")</f>
        <v> Organização do conhecimento</v>
      </c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</row>
    <row r="40">
      <c r="A40" s="22"/>
      <c r="B40" s="23"/>
      <c r="C40" s="24"/>
      <c r="D40" s="24"/>
      <c r="E40" s="18"/>
      <c r="F40" s="18"/>
      <c r="G40" s="25">
        <f t="shared" ref="G40:I40" si="34">G39</f>
        <v>2022</v>
      </c>
      <c r="H40" s="20" t="str">
        <f t="shared" si="34"/>
        <v>ododac2022</v>
      </c>
      <c r="I40" s="20" t="str">
        <f t="shared" si="34"/>
        <v>ORGANIZAÇÃO DE OBJETOS DE APRENDIZAGEM COM BASE NO PADRÃO LOM-IEEE UTILIZANDO DADOS LIGADOS INTEROPERÁVEIS NA WEB SEMÂNTICA</v>
      </c>
      <c r="J40" s="20" t="str">
        <f t="shared" si="2"/>
        <v>Padrão LOM-IEEE</v>
      </c>
      <c r="K40" s="20"/>
      <c r="L40" s="20" t="str">
        <f t="shared" si="3"/>
        <v>padrão lom-ieee</v>
      </c>
      <c r="M40" s="18"/>
      <c r="N40" s="21" t="str">
        <f>IFERROR(__xludf.DUMMYFUNCTION("""COMPUTED_VALUE""")," Padrão LOM-IEEE")</f>
        <v> Padrão LOM-IEEE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</row>
    <row r="41">
      <c r="A41" s="22"/>
      <c r="B41" s="23"/>
      <c r="C41" s="24"/>
      <c r="D41" s="24"/>
      <c r="E41" s="18"/>
      <c r="F41" s="18"/>
      <c r="G41" s="25">
        <f t="shared" ref="G41:I41" si="35">G40</f>
        <v>2022</v>
      </c>
      <c r="H41" s="20" t="str">
        <f t="shared" si="35"/>
        <v>ododac2022</v>
      </c>
      <c r="I41" s="20" t="str">
        <f t="shared" si="35"/>
        <v>ORGANIZAÇÃO DE OBJETOS DE APRENDIZAGEM COM BASE NO PADRÃO LOM-IEEE UTILIZANDO DADOS LIGADOS INTEROPERÁVEIS NA WEB SEMÂNTICA</v>
      </c>
      <c r="J41" s="20" t="str">
        <f t="shared" si="2"/>
        <v>Dados Ligados</v>
      </c>
      <c r="K41" s="20"/>
      <c r="L41" s="20" t="str">
        <f t="shared" si="3"/>
        <v>dados ligados</v>
      </c>
      <c r="M41" s="18"/>
      <c r="N41" s="21" t="str">
        <f>IFERROR(__xludf.DUMMYFUNCTION("""COMPUTED_VALUE""")," Dados Ligados")</f>
        <v> Dados Ligados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</row>
    <row r="42">
      <c r="A42" s="22"/>
      <c r="B42" s="23"/>
      <c r="C42" s="24"/>
      <c r="D42" s="24"/>
      <c r="E42" s="18"/>
      <c r="F42" s="18"/>
      <c r="G42" s="25">
        <f t="shared" ref="G42:I42" si="36">G41</f>
        <v>2022</v>
      </c>
      <c r="H42" s="20" t="str">
        <f t="shared" si="36"/>
        <v>ododac2022</v>
      </c>
      <c r="I42" s="20" t="str">
        <f t="shared" si="36"/>
        <v>ORGANIZAÇÃO DE OBJETOS DE APRENDIZAGEM COM BASE NO PADRÃO LOM-IEEE UTILIZANDO DADOS LIGADOS INTEROPERÁVEIS NA WEB SEMÂNTICA</v>
      </c>
      <c r="J42" s="20" t="str">
        <f t="shared" si="2"/>
        <v>Web semântica</v>
      </c>
      <c r="K42" s="20"/>
      <c r="L42" s="20" t="str">
        <f t="shared" si="3"/>
        <v>web semântica</v>
      </c>
      <c r="M42" s="18"/>
      <c r="N42" s="21" t="str">
        <f>IFERROR(__xludf.DUMMYFUNCTION("""COMPUTED_VALUE""")," Web semântica")</f>
        <v> Web semântica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</row>
    <row r="43">
      <c r="A43" s="8"/>
      <c r="B43" s="9"/>
      <c r="C43" s="10"/>
      <c r="D43" s="10"/>
      <c r="E43" s="18"/>
      <c r="F43" s="18"/>
      <c r="G43" s="25">
        <f t="shared" ref="G43:I43" si="37">G42</f>
        <v>2022</v>
      </c>
      <c r="H43" s="20" t="str">
        <f t="shared" si="37"/>
        <v>ododac2022</v>
      </c>
      <c r="I43" s="20" t="str">
        <f t="shared" si="37"/>
        <v>ORGANIZAÇÃO DE OBJETOS DE APRENDIZAGEM COM BASE NO PADRÃO LOM-IEEE UTILIZANDO DADOS LIGADOS INTEROPERÁVEIS NA WEB SEMÂNTICA</v>
      </c>
      <c r="J43" s="20" t="str">
        <f t="shared" si="2"/>
        <v/>
      </c>
      <c r="K43" s="20"/>
      <c r="L43" s="20" t="str">
        <f t="shared" si="3"/>
        <v/>
      </c>
      <c r="M43" s="18"/>
      <c r="N43" s="21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</row>
    <row r="44">
      <c r="A44" s="8" t="s">
        <v>54</v>
      </c>
      <c r="B44" s="9">
        <v>2022.0</v>
      </c>
      <c r="C44" s="10" t="s">
        <v>69</v>
      </c>
      <c r="D44" s="10" t="s">
        <v>70</v>
      </c>
      <c r="E44" s="18"/>
      <c r="F44" s="18"/>
      <c r="G44" s="12">
        <f>B44</f>
        <v>2022</v>
      </c>
      <c r="H44" s="13" t="str">
        <f>LOWER(left(O44,1)&amp;left(P44,1)&amp;left(Q44,1)&amp;left(R44,1)&amp;left(S44,1)&amp;left(T44,1))&amp;G44</f>
        <v>psfemo2022</v>
      </c>
      <c r="I44" s="20" t="str">
        <f>trim(C44)</f>
        <v>PROCESSO SISTEMÁTICO FUNDAMENTADO EM MODELAGEM ONTOLÓGICA APLICADO À ESTRATIFICAÇÃO DE RISCO EM SAÚDE MENTAL PARA ANÁLISE QUALI-QUANTI</v>
      </c>
      <c r="J44" s="20" t="str">
        <f t="shared" si="2"/>
        <v>Saúde Mental</v>
      </c>
      <c r="K44" s="20"/>
      <c r="L44" s="20" t="str">
        <f t="shared" si="3"/>
        <v>saúde mental</v>
      </c>
      <c r="M44" s="18"/>
      <c r="N44" s="21" t="str">
        <f>IFERROR(__xludf.DUMMYFUNCTION("TRANSPOSE(split(D44,"";"",true,true))"),"Saúde Mental")</f>
        <v>Saúde Mental</v>
      </c>
      <c r="O44" s="6" t="str">
        <f>IFERROR(__xludf.DUMMYFUNCTION("split(C44,"" "")"),"PROCESSO")</f>
        <v>PROCESSO</v>
      </c>
      <c r="P44" s="18" t="str">
        <f>IFERROR(__xludf.DUMMYFUNCTION("""COMPUTED_VALUE"""),"SISTEMÁTICO")</f>
        <v>SISTEMÁTICO</v>
      </c>
      <c r="Q44" s="18" t="str">
        <f>IFERROR(__xludf.DUMMYFUNCTION("""COMPUTED_VALUE"""),"FUNDAMENTADO")</f>
        <v>FUNDAMENTADO</v>
      </c>
      <c r="R44" s="18" t="str">
        <f>IFERROR(__xludf.DUMMYFUNCTION("""COMPUTED_VALUE"""),"EM")</f>
        <v>EM</v>
      </c>
      <c r="S44" s="18" t="str">
        <f>IFERROR(__xludf.DUMMYFUNCTION("""COMPUTED_VALUE"""),"MODELAGEM")</f>
        <v>MODELAGEM</v>
      </c>
      <c r="T44" s="18" t="str">
        <f>IFERROR(__xludf.DUMMYFUNCTION("""COMPUTED_VALUE"""),"ONTOLÓGICA")</f>
        <v>ONTOLÓGICA</v>
      </c>
      <c r="U44" s="18" t="str">
        <f>IFERROR(__xludf.DUMMYFUNCTION("""COMPUTED_VALUE"""),"APLICADO")</f>
        <v>APLICADO</v>
      </c>
      <c r="V44" s="18" t="str">
        <f>IFERROR(__xludf.DUMMYFUNCTION("""COMPUTED_VALUE"""),"À")</f>
        <v>À</v>
      </c>
      <c r="W44" s="18" t="str">
        <f>IFERROR(__xludf.DUMMYFUNCTION("""COMPUTED_VALUE"""),"ESTRATIFICAÇÃO")</f>
        <v>ESTRATIFICAÇÃO</v>
      </c>
      <c r="X44" s="18" t="str">
        <f>IFERROR(__xludf.DUMMYFUNCTION("""COMPUTED_VALUE"""),"DE")</f>
        <v>DE</v>
      </c>
      <c r="Y44" s="18" t="str">
        <f>IFERROR(__xludf.DUMMYFUNCTION("""COMPUTED_VALUE"""),"RISCO")</f>
        <v>RISCO</v>
      </c>
      <c r="Z44" s="18" t="str">
        <f>IFERROR(__xludf.DUMMYFUNCTION("""COMPUTED_VALUE"""),"EM")</f>
        <v>EM</v>
      </c>
      <c r="AA44" s="18" t="str">
        <f>IFERROR(__xludf.DUMMYFUNCTION("""COMPUTED_VALUE"""),"SAÚDE")</f>
        <v>SAÚDE</v>
      </c>
      <c r="AB44" s="18" t="str">
        <f>IFERROR(__xludf.DUMMYFUNCTION("""COMPUTED_VALUE"""),"MENTAL")</f>
        <v>MENTAL</v>
      </c>
      <c r="AC44" s="18" t="str">
        <f>IFERROR(__xludf.DUMMYFUNCTION("""COMPUTED_VALUE"""),"PARA")</f>
        <v>PARA</v>
      </c>
      <c r="AD44" s="18" t="str">
        <f>IFERROR(__xludf.DUMMYFUNCTION("""COMPUTED_VALUE"""),"ANÁLISE")</f>
        <v>ANÁLISE</v>
      </c>
      <c r="AE44" s="18" t="str">
        <f>IFERROR(__xludf.DUMMYFUNCTION("""COMPUTED_VALUE"""),"QUALI-QUANTI")</f>
        <v>QUALI-QUANTI</v>
      </c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</row>
    <row r="45">
      <c r="A45" s="8"/>
      <c r="B45" s="9"/>
      <c r="C45" s="10"/>
      <c r="D45" s="24"/>
      <c r="E45" s="18"/>
      <c r="F45" s="18"/>
      <c r="G45" s="25">
        <f t="shared" ref="G45:I45" si="38">G44</f>
        <v>2022</v>
      </c>
      <c r="H45" s="20" t="str">
        <f t="shared" si="38"/>
        <v>psfemo2022</v>
      </c>
      <c r="I45" s="20" t="str">
        <f t="shared" si="38"/>
        <v>PROCESSO SISTEMÁTICO FUNDAMENTADO EM MODELAGEM ONTOLÓGICA APLICADO À ESTRATIFICAÇÃO DE RISCO EM SAÚDE MENTAL PARA ANÁLISE QUALI-QUANTI</v>
      </c>
      <c r="J45" s="20" t="str">
        <f t="shared" si="2"/>
        <v>Ontologia</v>
      </c>
      <c r="K45" s="20"/>
      <c r="L45" s="20" t="str">
        <f t="shared" si="3"/>
        <v>ontologia</v>
      </c>
      <c r="M45" s="18"/>
      <c r="N45" s="21" t="str">
        <f>IFERROR(__xludf.DUMMYFUNCTION("""COMPUTED_VALUE""")," Ontologia")</f>
        <v> Ontologia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</row>
    <row r="46">
      <c r="A46" s="8"/>
      <c r="B46" s="9"/>
      <c r="C46" s="10"/>
      <c r="D46" s="24"/>
      <c r="E46" s="18"/>
      <c r="F46" s="18"/>
      <c r="G46" s="25">
        <f t="shared" ref="G46:I46" si="39">G45</f>
        <v>2022</v>
      </c>
      <c r="H46" s="20" t="str">
        <f t="shared" si="39"/>
        <v>psfemo2022</v>
      </c>
      <c r="I46" s="20" t="str">
        <f t="shared" si="39"/>
        <v>PROCESSO SISTEMÁTICO FUNDAMENTADO EM MODELAGEM ONTOLÓGICA APLICADO À ESTRATIFICAÇÃO DE RISCO EM SAÚDE MENTAL PARA ANÁLISE QUALI-QUANTI</v>
      </c>
      <c r="J46" s="20" t="str">
        <f t="shared" si="2"/>
        <v>Psicoterapia</v>
      </c>
      <c r="K46" s="20"/>
      <c r="L46" s="20" t="str">
        <f t="shared" si="3"/>
        <v>psicoterapia</v>
      </c>
      <c r="M46" s="18"/>
      <c r="N46" s="21" t="str">
        <f>IFERROR(__xludf.DUMMYFUNCTION("""COMPUTED_VALUE""")," Psicoterapia")</f>
        <v> Psicoterapia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</row>
    <row r="47">
      <c r="A47" s="8"/>
      <c r="B47" s="9"/>
      <c r="C47" s="10"/>
      <c r="D47" s="24"/>
      <c r="E47" s="18"/>
      <c r="F47" s="18"/>
      <c r="G47" s="25">
        <f t="shared" ref="G47:I47" si="40">G46</f>
        <v>2022</v>
      </c>
      <c r="H47" s="20" t="str">
        <f t="shared" si="40"/>
        <v>psfemo2022</v>
      </c>
      <c r="I47" s="20" t="str">
        <f t="shared" si="40"/>
        <v>PROCESSO SISTEMÁTICO FUNDAMENTADO EM MODELAGEM ONTOLÓGICA APLICADO À ESTRATIFICAÇÃO DE RISCO EM SAÚDE MENTAL PARA ANÁLISE QUALI-QUANTI</v>
      </c>
      <c r="J47" s="20" t="str">
        <f t="shared" si="2"/>
        <v>Análise Quali-Quanti</v>
      </c>
      <c r="K47" s="20"/>
      <c r="L47" s="20" t="str">
        <f t="shared" si="3"/>
        <v>análise quali-quanti</v>
      </c>
      <c r="M47" s="18"/>
      <c r="N47" s="21" t="str">
        <f>IFERROR(__xludf.DUMMYFUNCTION("""COMPUTED_VALUE""")," Análise Quali-Quanti")</f>
        <v> Análise Quali-Quanti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</row>
    <row r="48">
      <c r="A48" s="8"/>
      <c r="B48" s="9"/>
      <c r="C48" s="10"/>
      <c r="D48" s="24"/>
      <c r="E48" s="18"/>
      <c r="F48" s="18"/>
      <c r="G48" s="25">
        <f t="shared" ref="G48:I48" si="41">G47</f>
        <v>2022</v>
      </c>
      <c r="H48" s="20" t="str">
        <f t="shared" si="41"/>
        <v>psfemo2022</v>
      </c>
      <c r="I48" s="20" t="str">
        <f t="shared" si="41"/>
        <v>PROCESSO SISTEMÁTICO FUNDAMENTADO EM MODELAGEM ONTOLÓGICA APLICADO À ESTRATIFICAÇÃO DE RISCO EM SAÚDE MENTAL PARA ANÁLISE QUALI-QUANTI</v>
      </c>
      <c r="J48" s="20" t="str">
        <f t="shared" si="2"/>
        <v>Grafos de Conhecimento</v>
      </c>
      <c r="K48" s="20"/>
      <c r="L48" s="20" t="str">
        <f t="shared" si="3"/>
        <v>grafos de conhecimento</v>
      </c>
      <c r="M48" s="18"/>
      <c r="N48" s="21" t="str">
        <f>IFERROR(__xludf.DUMMYFUNCTION("""COMPUTED_VALUE""")," Grafos de Conhecimento")</f>
        <v> Grafos de Conhecimento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</row>
    <row r="49">
      <c r="A49" s="8"/>
      <c r="B49" s="9"/>
      <c r="C49" s="10"/>
      <c r="D49" s="10"/>
      <c r="E49" s="18"/>
      <c r="F49" s="18"/>
      <c r="G49" s="25">
        <f t="shared" ref="G49:I49" si="42">G48</f>
        <v>2022</v>
      </c>
      <c r="H49" s="20" t="str">
        <f t="shared" si="42"/>
        <v>psfemo2022</v>
      </c>
      <c r="I49" s="20" t="str">
        <f t="shared" si="42"/>
        <v>PROCESSO SISTEMÁTICO FUNDAMENTADO EM MODELAGEM ONTOLÓGICA APLICADO À ESTRATIFICAÇÃO DE RISCO EM SAÚDE MENTAL PARA ANÁLISE QUALI-QUANTI</v>
      </c>
      <c r="J49" s="20" t="str">
        <f t="shared" si="2"/>
        <v/>
      </c>
      <c r="K49" s="20"/>
      <c r="L49" s="20" t="str">
        <f t="shared" si="3"/>
        <v/>
      </c>
      <c r="M49" s="18"/>
      <c r="N49" s="21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</row>
    <row r="50">
      <c r="A50" s="8" t="s">
        <v>54</v>
      </c>
      <c r="B50" s="9">
        <v>2022.0</v>
      </c>
      <c r="C50" s="10" t="s">
        <v>71</v>
      </c>
      <c r="D50" s="10" t="s">
        <v>72</v>
      </c>
      <c r="E50" s="18"/>
      <c r="F50" s="18"/>
      <c r="G50" s="12">
        <f>B50</f>
        <v>2022</v>
      </c>
      <c r="H50" s="13" t="str">
        <f>LOWER(left(O50,1)&amp;left(P50,1)&amp;left(Q50,1)&amp;left(R50,1)&amp;left(S50,1)&amp;left(T50,1))&amp;G50</f>
        <v>qdrdde2022</v>
      </c>
      <c r="I50" s="20" t="str">
        <f>trim(C50)</f>
        <v>QUALIFICAÇÃO DE REPOSITÓRIOS DE DADOS E DE PUBLICAÇÕES: uma proposta de critérios alinhada à Ciência Aberta</v>
      </c>
      <c r="J50" s="20" t="str">
        <f t="shared" si="2"/>
        <v>Ciência Aberta</v>
      </c>
      <c r="K50" s="20"/>
      <c r="L50" s="20" t="str">
        <f t="shared" si="3"/>
        <v>ciência aberta</v>
      </c>
      <c r="M50" s="18"/>
      <c r="N50" s="21" t="str">
        <f>IFERROR(__xludf.DUMMYFUNCTION("TRANSPOSE(split(D50,"";"",true,true))"),"Ciência Aberta")</f>
        <v>Ciência Aberta</v>
      </c>
      <c r="O50" s="6" t="str">
        <f>IFERROR(__xludf.DUMMYFUNCTION("split(C50,"" "")"),"QUALIFICAÇÃO")</f>
        <v>QUALIFICAÇÃO</v>
      </c>
      <c r="P50" s="18" t="str">
        <f>IFERROR(__xludf.DUMMYFUNCTION("""COMPUTED_VALUE"""),"DE")</f>
        <v>DE</v>
      </c>
      <c r="Q50" s="18" t="str">
        <f>IFERROR(__xludf.DUMMYFUNCTION("""COMPUTED_VALUE"""),"REPOSITÓRIOS")</f>
        <v>REPOSITÓRIOS</v>
      </c>
      <c r="R50" s="18" t="str">
        <f>IFERROR(__xludf.DUMMYFUNCTION("""COMPUTED_VALUE"""),"DE")</f>
        <v>DE</v>
      </c>
      <c r="S50" s="18" t="str">
        <f>IFERROR(__xludf.DUMMYFUNCTION("""COMPUTED_VALUE"""),"DADOS")</f>
        <v>DADOS</v>
      </c>
      <c r="T50" s="18" t="str">
        <f>IFERROR(__xludf.DUMMYFUNCTION("""COMPUTED_VALUE"""),"E")</f>
        <v>E</v>
      </c>
      <c r="U50" s="18" t="str">
        <f>IFERROR(__xludf.DUMMYFUNCTION("""COMPUTED_VALUE"""),"DE")</f>
        <v>DE</v>
      </c>
      <c r="V50" s="18" t="str">
        <f>IFERROR(__xludf.DUMMYFUNCTION("""COMPUTED_VALUE"""),"PUBLICAÇÕES:")</f>
        <v>PUBLICAÇÕES:</v>
      </c>
      <c r="W50" s="18" t="str">
        <f>IFERROR(__xludf.DUMMYFUNCTION("""COMPUTED_VALUE"""),"uma")</f>
        <v>uma</v>
      </c>
      <c r="X50" s="18" t="str">
        <f>IFERROR(__xludf.DUMMYFUNCTION("""COMPUTED_VALUE"""),"proposta")</f>
        <v>proposta</v>
      </c>
      <c r="Y50" s="18" t="str">
        <f>IFERROR(__xludf.DUMMYFUNCTION("""COMPUTED_VALUE"""),"de")</f>
        <v>de</v>
      </c>
      <c r="Z50" s="18" t="str">
        <f>IFERROR(__xludf.DUMMYFUNCTION("""COMPUTED_VALUE"""),"critérios")</f>
        <v>critérios</v>
      </c>
      <c r="AA50" s="18" t="str">
        <f>IFERROR(__xludf.DUMMYFUNCTION("""COMPUTED_VALUE"""),"alinhada")</f>
        <v>alinhada</v>
      </c>
      <c r="AB50" s="18" t="str">
        <f>IFERROR(__xludf.DUMMYFUNCTION("""COMPUTED_VALUE"""),"à")</f>
        <v>à</v>
      </c>
      <c r="AC50" s="18" t="str">
        <f>IFERROR(__xludf.DUMMYFUNCTION("""COMPUTED_VALUE"""),"Ciência")</f>
        <v>Ciência</v>
      </c>
      <c r="AD50" s="18" t="str">
        <f>IFERROR(__xludf.DUMMYFUNCTION("""COMPUTED_VALUE"""),"Aberta")</f>
        <v>Aberta</v>
      </c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</row>
    <row r="51">
      <c r="A51" s="22"/>
      <c r="B51" s="23"/>
      <c r="C51" s="24"/>
      <c r="D51" s="24"/>
      <c r="E51" s="18"/>
      <c r="F51" s="18"/>
      <c r="G51" s="25">
        <f t="shared" ref="G51:I51" si="43">G50</f>
        <v>2022</v>
      </c>
      <c r="H51" s="20" t="str">
        <f t="shared" si="43"/>
        <v>qdrdde2022</v>
      </c>
      <c r="I51" s="20" t="str">
        <f t="shared" si="43"/>
        <v>QUALIFICAÇÃO DE REPOSITÓRIOS DE DADOS E DE PUBLICAÇÕES: uma proposta de critérios alinhada à Ciência Aberta</v>
      </c>
      <c r="J51" s="20" t="str">
        <f t="shared" si="2"/>
        <v>Qualificação de repositórios</v>
      </c>
      <c r="K51" s="20"/>
      <c r="L51" s="20" t="str">
        <f t="shared" si="3"/>
        <v>qualificação de repositórios</v>
      </c>
      <c r="M51" s="18"/>
      <c r="N51" s="21" t="str">
        <f>IFERROR(__xludf.DUMMYFUNCTION("""COMPUTED_VALUE""")," Qualificação de repositórios")</f>
        <v> Qualificação de repositórios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</row>
    <row r="52">
      <c r="A52" s="22"/>
      <c r="B52" s="23"/>
      <c r="C52" s="24"/>
      <c r="D52" s="24"/>
      <c r="E52" s="18"/>
      <c r="F52" s="18"/>
      <c r="G52" s="25">
        <f t="shared" ref="G52:I52" si="44">G51</f>
        <v>2022</v>
      </c>
      <c r="H52" s="20" t="str">
        <f t="shared" si="44"/>
        <v>qdrdde2022</v>
      </c>
      <c r="I52" s="20" t="str">
        <f t="shared" si="44"/>
        <v>QUALIFICAÇÃO DE REPOSITÓRIOS DE DADOS E DE PUBLICAÇÕES: uma proposta de critérios alinhada à Ciência Aberta</v>
      </c>
      <c r="J52" s="20" t="str">
        <f t="shared" si="2"/>
        <v>Repositório de Dados</v>
      </c>
      <c r="K52" s="20"/>
      <c r="L52" s="20" t="str">
        <f t="shared" si="3"/>
        <v>repositório de dados</v>
      </c>
      <c r="M52" s="18"/>
      <c r="N52" s="21" t="str">
        <f>IFERROR(__xludf.DUMMYFUNCTION("""COMPUTED_VALUE""")," Repositório de Dados")</f>
        <v> Repositório de Dados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</row>
    <row r="53">
      <c r="A53" s="22"/>
      <c r="B53" s="23"/>
      <c r="C53" s="24"/>
      <c r="D53" s="24"/>
      <c r="E53" s="18"/>
      <c r="F53" s="18"/>
      <c r="G53" s="25">
        <f t="shared" ref="G53:I53" si="45">G52</f>
        <v>2022</v>
      </c>
      <c r="H53" s="20" t="str">
        <f t="shared" si="45"/>
        <v>qdrdde2022</v>
      </c>
      <c r="I53" s="20" t="str">
        <f t="shared" si="45"/>
        <v>QUALIFICAÇÃO DE REPOSITÓRIOS DE DADOS E DE PUBLICAÇÕES: uma proposta de critérios alinhada à Ciência Aberta</v>
      </c>
      <c r="J53" s="20" t="str">
        <f t="shared" si="2"/>
        <v>Repositórios de publicações</v>
      </c>
      <c r="K53" s="20"/>
      <c r="L53" s="20" t="str">
        <f t="shared" si="3"/>
        <v>repositórios de publicações</v>
      </c>
      <c r="M53" s="18"/>
      <c r="N53" s="21" t="str">
        <f>IFERROR(__xludf.DUMMYFUNCTION("""COMPUTED_VALUE""")," Repositórios de publicações")</f>
        <v> Repositórios de publicações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</row>
    <row r="54">
      <c r="A54" s="22"/>
      <c r="B54" s="23"/>
      <c r="C54" s="24"/>
      <c r="D54" s="24"/>
      <c r="E54" s="18"/>
      <c r="F54" s="18"/>
      <c r="G54" s="25">
        <f t="shared" ref="G54:I54" si="46">G53</f>
        <v>2022</v>
      </c>
      <c r="H54" s="20" t="str">
        <f t="shared" si="46"/>
        <v>qdrdde2022</v>
      </c>
      <c r="I54" s="20" t="str">
        <f t="shared" si="46"/>
        <v>QUALIFICAÇÃO DE REPOSITÓRIOS DE DADOS E DE PUBLICAÇÕES: uma proposta de critérios alinhada à Ciência Aberta</v>
      </c>
      <c r="J54" s="20" t="str">
        <f t="shared" si="2"/>
        <v/>
      </c>
      <c r="K54" s="20"/>
      <c r="L54" s="20" t="str">
        <f t="shared" si="3"/>
        <v/>
      </c>
      <c r="M54" s="18"/>
      <c r="N54" s="21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</row>
    <row r="55">
      <c r="A55" s="8"/>
      <c r="B55" s="9"/>
      <c r="C55" s="10"/>
      <c r="D55" s="10"/>
      <c r="E55" s="18"/>
      <c r="F55" s="18"/>
      <c r="G55" s="25">
        <f t="shared" ref="G55:I55" si="47">G54</f>
        <v>2022</v>
      </c>
      <c r="H55" s="20" t="str">
        <f t="shared" si="47"/>
        <v>qdrdde2022</v>
      </c>
      <c r="I55" s="20" t="str">
        <f t="shared" si="47"/>
        <v>QUALIFICAÇÃO DE REPOSITÓRIOS DE DADOS E DE PUBLICAÇÕES: uma proposta de critérios alinhada à Ciência Aberta</v>
      </c>
      <c r="J55" s="20" t="str">
        <f t="shared" si="2"/>
        <v/>
      </c>
      <c r="K55" s="20"/>
      <c r="L55" s="20" t="str">
        <f t="shared" si="3"/>
        <v/>
      </c>
      <c r="M55" s="18"/>
      <c r="N55" s="21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</row>
    <row r="56">
      <c r="A56" s="8" t="s">
        <v>54</v>
      </c>
      <c r="B56" s="9">
        <v>2022.0</v>
      </c>
      <c r="C56" s="10" t="s">
        <v>73</v>
      </c>
      <c r="D56" s="10" t="s">
        <v>74</v>
      </c>
      <c r="E56" s="18"/>
      <c r="F56" s="18"/>
      <c r="G56" s="12">
        <f>B56</f>
        <v>2022</v>
      </c>
      <c r="H56" s="13" t="str">
        <f>LOWER(left(O56,1)&amp;left(P56,1)&amp;left(Q56,1)&amp;left(R56,1)&amp;left(S56,1)&amp;left(T56,1))&amp;G56</f>
        <v>rdddpa2022</v>
      </c>
      <c r="I56" s="20" t="str">
        <f>trim(C56)</f>
        <v>REPOSITÓRIOS DE DADOS DE PESQUISA: análise à luz dos princípios FAIR</v>
      </c>
      <c r="J56" s="20" t="str">
        <f t="shared" si="2"/>
        <v>Dado de pesquisa</v>
      </c>
      <c r="K56" s="20"/>
      <c r="L56" s="20" t="str">
        <f t="shared" si="3"/>
        <v>dado de pesquisa</v>
      </c>
      <c r="M56" s="18"/>
      <c r="N56" s="21" t="str">
        <f>IFERROR(__xludf.DUMMYFUNCTION("TRANSPOSE(split(D56,"";"",true,true))"),"Dado de pesquisa")</f>
        <v>Dado de pesquisa</v>
      </c>
      <c r="O56" s="6" t="str">
        <f>IFERROR(__xludf.DUMMYFUNCTION("split(C56,"" "")"),"REPOSITÓRIOS")</f>
        <v>REPOSITÓRIOS</v>
      </c>
      <c r="P56" s="18" t="str">
        <f>IFERROR(__xludf.DUMMYFUNCTION("""COMPUTED_VALUE"""),"DE")</f>
        <v>DE</v>
      </c>
      <c r="Q56" s="18" t="str">
        <f>IFERROR(__xludf.DUMMYFUNCTION("""COMPUTED_VALUE"""),"DADOS")</f>
        <v>DADOS</v>
      </c>
      <c r="R56" s="18" t="str">
        <f>IFERROR(__xludf.DUMMYFUNCTION("""COMPUTED_VALUE"""),"DE")</f>
        <v>DE</v>
      </c>
      <c r="S56" s="18" t="str">
        <f>IFERROR(__xludf.DUMMYFUNCTION("""COMPUTED_VALUE"""),"PESQUISA:")</f>
        <v>PESQUISA:</v>
      </c>
      <c r="T56" s="18" t="str">
        <f>IFERROR(__xludf.DUMMYFUNCTION("""COMPUTED_VALUE"""),"análise")</f>
        <v>análise</v>
      </c>
      <c r="U56" s="18" t="str">
        <f>IFERROR(__xludf.DUMMYFUNCTION("""COMPUTED_VALUE"""),"à")</f>
        <v>à</v>
      </c>
      <c r="V56" s="18" t="str">
        <f>IFERROR(__xludf.DUMMYFUNCTION("""COMPUTED_VALUE"""),"luz")</f>
        <v>luz</v>
      </c>
      <c r="W56" s="18" t="str">
        <f>IFERROR(__xludf.DUMMYFUNCTION("""COMPUTED_VALUE"""),"dos")</f>
        <v>dos</v>
      </c>
      <c r="X56" s="18" t="str">
        <f>IFERROR(__xludf.DUMMYFUNCTION("""COMPUTED_VALUE"""),"princípios")</f>
        <v>princípios</v>
      </c>
      <c r="Y56" s="18" t="str">
        <f>IFERROR(__xludf.DUMMYFUNCTION("""COMPUTED_VALUE"""),"FAIR")</f>
        <v>FAIR</v>
      </c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</row>
    <row r="57">
      <c r="A57" s="22"/>
      <c r="B57" s="23"/>
      <c r="C57" s="24"/>
      <c r="D57" s="24"/>
      <c r="E57" s="18"/>
      <c r="F57" s="18"/>
      <c r="G57" s="25">
        <f t="shared" ref="G57:I57" si="48">G56</f>
        <v>2022</v>
      </c>
      <c r="H57" s="20" t="str">
        <f t="shared" si="48"/>
        <v>rdddpa2022</v>
      </c>
      <c r="I57" s="20" t="str">
        <f t="shared" si="48"/>
        <v>REPOSITÓRIOS DE DADOS DE PESQUISA: análise à luz dos princípios FAIR</v>
      </c>
      <c r="J57" s="20" t="str">
        <f t="shared" si="2"/>
        <v>Repositório de dados</v>
      </c>
      <c r="K57" s="20"/>
      <c r="L57" s="20" t="str">
        <f t="shared" si="3"/>
        <v>repositório de dados</v>
      </c>
      <c r="M57" s="18"/>
      <c r="N57" s="21" t="str">
        <f>IFERROR(__xludf.DUMMYFUNCTION("""COMPUTED_VALUE""")," Repositório de dados")</f>
        <v> Repositório de dados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</row>
    <row r="58">
      <c r="A58" s="22"/>
      <c r="B58" s="23"/>
      <c r="C58" s="24"/>
      <c r="D58" s="24"/>
      <c r="E58" s="18"/>
      <c r="F58" s="18"/>
      <c r="G58" s="25">
        <f t="shared" ref="G58:I58" si="49">G57</f>
        <v>2022</v>
      </c>
      <c r="H58" s="20" t="str">
        <f t="shared" si="49"/>
        <v>rdddpa2022</v>
      </c>
      <c r="I58" s="20" t="str">
        <f t="shared" si="49"/>
        <v>REPOSITÓRIOS DE DADOS DE PESQUISA: análise à luz dos princípios FAIR</v>
      </c>
      <c r="J58" s="20" t="str">
        <f t="shared" si="2"/>
        <v>Princípios FAIR</v>
      </c>
      <c r="K58" s="20"/>
      <c r="L58" s="20" t="str">
        <f t="shared" si="3"/>
        <v>princípios fair</v>
      </c>
      <c r="M58" s="18"/>
      <c r="N58" s="21" t="str">
        <f>IFERROR(__xludf.DUMMYFUNCTION("""COMPUTED_VALUE""")," Princípios FAIR")</f>
        <v> Princípios FAIR</v>
      </c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</row>
    <row r="59">
      <c r="A59" s="22"/>
      <c r="B59" s="23"/>
      <c r="C59" s="24"/>
      <c r="D59" s="24"/>
      <c r="E59" s="18"/>
      <c r="F59" s="18"/>
      <c r="G59" s="25">
        <f t="shared" ref="G59:I59" si="50">G58</f>
        <v>2022</v>
      </c>
      <c r="H59" s="20" t="str">
        <f t="shared" si="50"/>
        <v>rdddpa2022</v>
      </c>
      <c r="I59" s="20" t="str">
        <f t="shared" si="50"/>
        <v>REPOSITÓRIOS DE DADOS DE PESQUISA: análise à luz dos princípios FAIR</v>
      </c>
      <c r="J59" s="20" t="str">
        <f t="shared" si="2"/>
        <v/>
      </c>
      <c r="K59" s="20"/>
      <c r="L59" s="20" t="str">
        <f t="shared" si="3"/>
        <v/>
      </c>
      <c r="M59" s="18"/>
      <c r="N59" s="21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</row>
    <row r="60">
      <c r="A60" s="22"/>
      <c r="B60" s="23"/>
      <c r="C60" s="24"/>
      <c r="D60" s="24"/>
      <c r="E60" s="18"/>
      <c r="F60" s="18"/>
      <c r="G60" s="25">
        <f t="shared" ref="G60:I60" si="51">G59</f>
        <v>2022</v>
      </c>
      <c r="H60" s="20" t="str">
        <f t="shared" si="51"/>
        <v>rdddpa2022</v>
      </c>
      <c r="I60" s="20" t="str">
        <f t="shared" si="51"/>
        <v>REPOSITÓRIOS DE DADOS DE PESQUISA: análise à luz dos princípios FAIR</v>
      </c>
      <c r="J60" s="20" t="str">
        <f t="shared" si="2"/>
        <v/>
      </c>
      <c r="K60" s="20"/>
      <c r="L60" s="20" t="str">
        <f t="shared" si="3"/>
        <v/>
      </c>
      <c r="M60" s="18"/>
      <c r="N60" s="21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</row>
    <row r="61">
      <c r="A61" s="8"/>
      <c r="B61" s="9"/>
      <c r="C61" s="10"/>
      <c r="D61" s="10"/>
      <c r="E61" s="18"/>
      <c r="F61" s="18"/>
      <c r="G61" s="25">
        <f t="shared" ref="G61:I61" si="52">G60</f>
        <v>2022</v>
      </c>
      <c r="H61" s="20" t="str">
        <f t="shared" si="52"/>
        <v>rdddpa2022</v>
      </c>
      <c r="I61" s="20" t="str">
        <f t="shared" si="52"/>
        <v>REPOSITÓRIOS DE DADOS DE PESQUISA: análise à luz dos princípios FAIR</v>
      </c>
      <c r="J61" s="20" t="str">
        <f t="shared" si="2"/>
        <v/>
      </c>
      <c r="K61" s="20"/>
      <c r="L61" s="20" t="str">
        <f t="shared" si="3"/>
        <v/>
      </c>
      <c r="M61" s="18"/>
      <c r="N61" s="21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</row>
    <row r="62">
      <c r="A62" s="8" t="s">
        <v>54</v>
      </c>
      <c r="B62" s="9">
        <v>2022.0</v>
      </c>
      <c r="C62" s="10" t="s">
        <v>75</v>
      </c>
      <c r="D62" s="10" t="s">
        <v>76</v>
      </c>
      <c r="E62" s="18"/>
      <c r="F62" s="18"/>
      <c r="G62" s="12">
        <f>B62</f>
        <v>2022</v>
      </c>
      <c r="H62" s="13" t="str">
        <f>LOWER(left(O62,1)&amp;left(P62,1)&amp;left(Q62,1)&amp;left(R62,1)&amp;left(S62,1)&amp;left(T62,1))&amp;G62</f>
        <v>aadfne2022</v>
      </c>
      <c r="I62" s="20" t="str">
        <f>trim(C62)</f>
        <v>A aplicabilidade da Folksonomia nos estudos altmétricos</v>
      </c>
      <c r="J62" s="20" t="str">
        <f t="shared" si="2"/>
        <v>Folksonomia</v>
      </c>
      <c r="K62" s="20"/>
      <c r="L62" s="20" t="str">
        <f t="shared" si="3"/>
        <v>folksonomia</v>
      </c>
      <c r="M62" s="18"/>
      <c r="N62" s="21" t="str">
        <f>IFERROR(__xludf.DUMMYFUNCTION("TRANSPOSE(split(D62,"";"",true,true))"),"Folksonomia")</f>
        <v>Folksonomia</v>
      </c>
      <c r="O62" s="6" t="str">
        <f>IFERROR(__xludf.DUMMYFUNCTION("split(C62,"" "")"),"A")</f>
        <v>A</v>
      </c>
      <c r="P62" s="18" t="str">
        <f>IFERROR(__xludf.DUMMYFUNCTION("""COMPUTED_VALUE"""),"aplicabilidade")</f>
        <v>aplicabilidade</v>
      </c>
      <c r="Q62" s="18" t="str">
        <f>IFERROR(__xludf.DUMMYFUNCTION("""COMPUTED_VALUE"""),"da")</f>
        <v>da</v>
      </c>
      <c r="R62" s="18" t="str">
        <f>IFERROR(__xludf.DUMMYFUNCTION("""COMPUTED_VALUE"""),"Folksonomia")</f>
        <v>Folksonomia</v>
      </c>
      <c r="S62" s="18" t="str">
        <f>IFERROR(__xludf.DUMMYFUNCTION("""COMPUTED_VALUE"""),"nos")</f>
        <v>nos</v>
      </c>
      <c r="T62" s="18" t="str">
        <f>IFERROR(__xludf.DUMMYFUNCTION("""COMPUTED_VALUE"""),"estudos")</f>
        <v>estudos</v>
      </c>
      <c r="U62" s="18" t="str">
        <f>IFERROR(__xludf.DUMMYFUNCTION("""COMPUTED_VALUE"""),"altmétricos")</f>
        <v>altmétricos</v>
      </c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</row>
    <row r="63">
      <c r="A63" s="22"/>
      <c r="B63" s="23"/>
      <c r="C63" s="24"/>
      <c r="D63" s="24"/>
      <c r="E63" s="18"/>
      <c r="F63" s="18"/>
      <c r="G63" s="25">
        <f t="shared" ref="G63:I63" si="53">G62</f>
        <v>2022</v>
      </c>
      <c r="H63" s="20" t="str">
        <f t="shared" si="53"/>
        <v>aadfne2022</v>
      </c>
      <c r="I63" s="20" t="str">
        <f t="shared" si="53"/>
        <v>A aplicabilidade da Folksonomia nos estudos altmétricos</v>
      </c>
      <c r="J63" s="20" t="str">
        <f t="shared" si="2"/>
        <v>Altmetria</v>
      </c>
      <c r="K63" s="20"/>
      <c r="L63" s="20" t="str">
        <f t="shared" si="3"/>
        <v>altmetria</v>
      </c>
      <c r="M63" s="18"/>
      <c r="N63" s="21" t="str">
        <f>IFERROR(__xludf.DUMMYFUNCTION("""COMPUTED_VALUE""")," Altmetria")</f>
        <v> Altmetria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</row>
    <row r="64">
      <c r="A64" s="22"/>
      <c r="B64" s="23"/>
      <c r="C64" s="24"/>
      <c r="D64" s="24"/>
      <c r="E64" s="18"/>
      <c r="F64" s="18"/>
      <c r="G64" s="25">
        <f t="shared" ref="G64:I64" si="54">G63</f>
        <v>2022</v>
      </c>
      <c r="H64" s="20" t="str">
        <f t="shared" si="54"/>
        <v>aadfne2022</v>
      </c>
      <c r="I64" s="20" t="str">
        <f t="shared" si="54"/>
        <v>A aplicabilidade da Folksonomia nos estudos altmétricos</v>
      </c>
      <c r="J64" s="20" t="str">
        <f t="shared" si="2"/>
        <v>Redes Sociais</v>
      </c>
      <c r="K64" s="20"/>
      <c r="L64" s="20" t="str">
        <f t="shared" si="3"/>
        <v>redes sociais</v>
      </c>
      <c r="M64" s="18"/>
      <c r="N64" s="21" t="str">
        <f>IFERROR(__xludf.DUMMYFUNCTION("""COMPUTED_VALUE""")," Redes Sociais")</f>
        <v> Redes Sociais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</row>
    <row r="65">
      <c r="A65" s="22"/>
      <c r="B65" s="23"/>
      <c r="C65" s="24"/>
      <c r="D65" s="24"/>
      <c r="E65" s="18"/>
      <c r="F65" s="18"/>
      <c r="G65" s="25">
        <f t="shared" ref="G65:I65" si="55">G64</f>
        <v>2022</v>
      </c>
      <c r="H65" s="20" t="str">
        <f t="shared" si="55"/>
        <v>aadfne2022</v>
      </c>
      <c r="I65" s="20" t="str">
        <f t="shared" si="55"/>
        <v>A aplicabilidade da Folksonomia nos estudos altmétricos</v>
      </c>
      <c r="J65" s="20" t="str">
        <f t="shared" si="2"/>
        <v>Indexação</v>
      </c>
      <c r="K65" s="20"/>
      <c r="L65" s="20" t="str">
        <f t="shared" si="3"/>
        <v>indexação</v>
      </c>
      <c r="M65" s="18"/>
      <c r="N65" s="21" t="str">
        <f>IFERROR(__xludf.DUMMYFUNCTION("""COMPUTED_VALUE""")," Indexação")</f>
        <v> Indexação</v>
      </c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</row>
    <row r="66">
      <c r="A66" s="22"/>
      <c r="B66" s="23"/>
      <c r="C66" s="24"/>
      <c r="D66" s="24"/>
      <c r="E66" s="18"/>
      <c r="F66" s="18"/>
      <c r="G66" s="25">
        <f t="shared" ref="G66:I66" si="56">G65</f>
        <v>2022</v>
      </c>
      <c r="H66" s="20" t="str">
        <f t="shared" si="56"/>
        <v>aadfne2022</v>
      </c>
      <c r="I66" s="20" t="str">
        <f t="shared" si="56"/>
        <v>A aplicabilidade da Folksonomia nos estudos altmétricos</v>
      </c>
      <c r="J66" s="20" t="str">
        <f t="shared" si="2"/>
        <v>Estudos Métricos</v>
      </c>
      <c r="K66" s="20"/>
      <c r="L66" s="20" t="str">
        <f t="shared" si="3"/>
        <v>estudos métricos</v>
      </c>
      <c r="M66" s="18"/>
      <c r="N66" s="21" t="str">
        <f>IFERROR(__xludf.DUMMYFUNCTION("""COMPUTED_VALUE""")," Estudos Métricos")</f>
        <v> Estudos Métricos</v>
      </c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</row>
    <row r="67">
      <c r="A67" s="8"/>
      <c r="B67" s="9"/>
      <c r="C67" s="10"/>
      <c r="D67" s="10"/>
      <c r="E67" s="18"/>
      <c r="F67" s="18"/>
      <c r="G67" s="25">
        <f t="shared" ref="G67:I67" si="57">G66</f>
        <v>2022</v>
      </c>
      <c r="H67" s="20" t="str">
        <f t="shared" si="57"/>
        <v>aadfne2022</v>
      </c>
      <c r="I67" s="20" t="str">
        <f t="shared" si="57"/>
        <v>A aplicabilidade da Folksonomia nos estudos altmétricos</v>
      </c>
      <c r="J67" s="20" t="str">
        <f t="shared" si="2"/>
        <v/>
      </c>
      <c r="K67" s="20"/>
      <c r="L67" s="20" t="str">
        <f t="shared" si="3"/>
        <v/>
      </c>
      <c r="M67" s="18"/>
      <c r="N67" s="21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</row>
    <row r="68">
      <c r="A68" s="8" t="s">
        <v>54</v>
      </c>
      <c r="B68" s="9">
        <v>2022.0</v>
      </c>
      <c r="C68" s="10" t="s">
        <v>77</v>
      </c>
      <c r="D68" s="10" t="s">
        <v>78</v>
      </c>
      <c r="E68" s="18"/>
      <c r="F68" s="18"/>
      <c r="G68" s="12">
        <f>B68</f>
        <v>2022</v>
      </c>
      <c r="H68" s="13" t="str">
        <f>LOWER(left(O68,1)&amp;left(P68,1)&amp;left(Q68,1)&amp;left(R68,1)&amp;left(S68,1)&amp;left(T68,1))&amp;G68</f>
        <v>ai4sop2022</v>
      </c>
      <c r="I68" s="20" t="str">
        <f>trim(C68)</f>
        <v>A INDÚSTRIA 4.0 SOB O PRISMA DA CIÊNCIA DE DADOS: Uma proposta de modelo de maturidade</v>
      </c>
      <c r="J68" s="20" t="str">
        <f t="shared" si="2"/>
        <v>Indústria 4.0</v>
      </c>
      <c r="K68" s="20"/>
      <c r="L68" s="20" t="str">
        <f t="shared" si="3"/>
        <v>indústria 4.0</v>
      </c>
      <c r="M68" s="18"/>
      <c r="N68" s="21" t="str">
        <f>IFERROR(__xludf.DUMMYFUNCTION("TRANSPOSE(split(D68,"";"",true,true))"),"Indústria 4.0")</f>
        <v>Indústria 4.0</v>
      </c>
      <c r="O68" s="6" t="str">
        <f>IFERROR(__xludf.DUMMYFUNCTION("split(C68,"" "")"),"A")</f>
        <v>A</v>
      </c>
      <c r="P68" s="18" t="str">
        <f>IFERROR(__xludf.DUMMYFUNCTION("""COMPUTED_VALUE"""),"INDÚSTRIA")</f>
        <v>INDÚSTRIA</v>
      </c>
      <c r="Q68" s="18" t="str">
        <f>IFERROR(__xludf.DUMMYFUNCTION("""COMPUTED_VALUE"""),"4.0")</f>
        <v>4.0</v>
      </c>
      <c r="R68" s="18" t="str">
        <f>IFERROR(__xludf.DUMMYFUNCTION("""COMPUTED_VALUE"""),"SOB")</f>
        <v>SOB</v>
      </c>
      <c r="S68" s="18" t="str">
        <f>IFERROR(__xludf.DUMMYFUNCTION("""COMPUTED_VALUE"""),"O")</f>
        <v>O</v>
      </c>
      <c r="T68" s="18" t="str">
        <f>IFERROR(__xludf.DUMMYFUNCTION("""COMPUTED_VALUE"""),"PRISMA")</f>
        <v>PRISMA</v>
      </c>
      <c r="U68" s="18" t="str">
        <f>IFERROR(__xludf.DUMMYFUNCTION("""COMPUTED_VALUE"""),"DA")</f>
        <v>DA</v>
      </c>
      <c r="V68" s="18" t="str">
        <f>IFERROR(__xludf.DUMMYFUNCTION("""COMPUTED_VALUE"""),"CIÊNCIA")</f>
        <v>CIÊNCIA</v>
      </c>
      <c r="W68" s="18" t="str">
        <f>IFERROR(__xludf.DUMMYFUNCTION("""COMPUTED_VALUE"""),"DE")</f>
        <v>DE</v>
      </c>
      <c r="X68" s="18" t="str">
        <f>IFERROR(__xludf.DUMMYFUNCTION("""COMPUTED_VALUE"""),"DADOS:")</f>
        <v>DADOS:</v>
      </c>
      <c r="Y68" s="18" t="str">
        <f>IFERROR(__xludf.DUMMYFUNCTION("""COMPUTED_VALUE"""),"Uma")</f>
        <v>Uma</v>
      </c>
      <c r="Z68" s="18" t="str">
        <f>IFERROR(__xludf.DUMMYFUNCTION("""COMPUTED_VALUE"""),"proposta")</f>
        <v>proposta</v>
      </c>
      <c r="AA68" s="18" t="str">
        <f>IFERROR(__xludf.DUMMYFUNCTION("""COMPUTED_VALUE"""),"de")</f>
        <v>de</v>
      </c>
      <c r="AB68" s="18" t="str">
        <f>IFERROR(__xludf.DUMMYFUNCTION("""COMPUTED_VALUE"""),"modelo")</f>
        <v>modelo</v>
      </c>
      <c r="AC68" s="18" t="str">
        <f>IFERROR(__xludf.DUMMYFUNCTION("""COMPUTED_VALUE"""),"de")</f>
        <v>de</v>
      </c>
      <c r="AD68" s="18" t="str">
        <f>IFERROR(__xludf.DUMMYFUNCTION("""COMPUTED_VALUE"""),"maturidade")</f>
        <v>maturidade</v>
      </c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</row>
    <row r="69">
      <c r="A69" s="22"/>
      <c r="B69" s="23"/>
      <c r="C69" s="24"/>
      <c r="D69" s="24"/>
      <c r="E69" s="18"/>
      <c r="F69" s="18"/>
      <c r="G69" s="25">
        <f t="shared" ref="G69:I69" si="58">G68</f>
        <v>2022</v>
      </c>
      <c r="H69" s="20" t="str">
        <f t="shared" si="58"/>
        <v>ai4sop2022</v>
      </c>
      <c r="I69" s="20" t="str">
        <f t="shared" si="58"/>
        <v>A INDÚSTRIA 4.0 SOB O PRISMA DA CIÊNCIA DE DADOS: Uma proposta de modelo de maturidade</v>
      </c>
      <c r="J69" s="20" t="str">
        <f t="shared" si="2"/>
        <v>Modelo de maturidade</v>
      </c>
      <c r="K69" s="20"/>
      <c r="L69" s="20" t="str">
        <f t="shared" si="3"/>
        <v>modelo de maturidade</v>
      </c>
      <c r="M69" s="18"/>
      <c r="N69" s="21" t="str">
        <f>IFERROR(__xludf.DUMMYFUNCTION("""COMPUTED_VALUE""")," Modelo de maturidade")</f>
        <v> Modelo de maturidade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</row>
    <row r="70">
      <c r="A70" s="22"/>
      <c r="B70" s="23"/>
      <c r="C70" s="24"/>
      <c r="D70" s="24"/>
      <c r="E70" s="18"/>
      <c r="F70" s="18"/>
      <c r="G70" s="25">
        <f t="shared" ref="G70:I70" si="59">G69</f>
        <v>2022</v>
      </c>
      <c r="H70" s="20" t="str">
        <f t="shared" si="59"/>
        <v>ai4sop2022</v>
      </c>
      <c r="I70" s="20" t="str">
        <f t="shared" si="59"/>
        <v>A INDÚSTRIA 4.0 SOB O PRISMA DA CIÊNCIA DE DADOS: Uma proposta de modelo de maturidade</v>
      </c>
      <c r="J70" s="20" t="str">
        <f t="shared" si="2"/>
        <v>Ciência de Dados</v>
      </c>
      <c r="K70" s="20"/>
      <c r="L70" s="20" t="str">
        <f t="shared" si="3"/>
        <v>ciência de dados</v>
      </c>
      <c r="M70" s="18"/>
      <c r="N70" s="21" t="str">
        <f>IFERROR(__xludf.DUMMYFUNCTION("""COMPUTED_VALUE""")," Ciência de Dados")</f>
        <v> Ciência de Dados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</row>
    <row r="71">
      <c r="A71" s="22"/>
      <c r="B71" s="23"/>
      <c r="C71" s="24"/>
      <c r="D71" s="24"/>
      <c r="E71" s="18"/>
      <c r="F71" s="18"/>
      <c r="G71" s="25">
        <f t="shared" ref="G71:I71" si="60">G70</f>
        <v>2022</v>
      </c>
      <c r="H71" s="20" t="str">
        <f t="shared" si="60"/>
        <v>ai4sop2022</v>
      </c>
      <c r="I71" s="20" t="str">
        <f t="shared" si="60"/>
        <v>A INDÚSTRIA 4.0 SOB O PRISMA DA CIÊNCIA DE DADOS: Uma proposta de modelo de maturidade</v>
      </c>
      <c r="J71" s="20" t="str">
        <f t="shared" si="2"/>
        <v/>
      </c>
      <c r="K71" s="20"/>
      <c r="L71" s="20" t="str">
        <f t="shared" si="3"/>
        <v/>
      </c>
      <c r="M71" s="18"/>
      <c r="N71" s="21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</row>
    <row r="72">
      <c r="A72" s="22"/>
      <c r="B72" s="23"/>
      <c r="C72" s="24"/>
      <c r="D72" s="24"/>
      <c r="E72" s="18"/>
      <c r="F72" s="18"/>
      <c r="G72" s="25">
        <f t="shared" ref="G72:I72" si="61">G71</f>
        <v>2022</v>
      </c>
      <c r="H72" s="20" t="str">
        <f t="shared" si="61"/>
        <v>ai4sop2022</v>
      </c>
      <c r="I72" s="20" t="str">
        <f t="shared" si="61"/>
        <v>A INDÚSTRIA 4.0 SOB O PRISMA DA CIÊNCIA DE DADOS: Uma proposta de modelo de maturidade</v>
      </c>
      <c r="J72" s="20" t="str">
        <f t="shared" si="2"/>
        <v/>
      </c>
      <c r="K72" s="20"/>
      <c r="L72" s="20" t="str">
        <f t="shared" si="3"/>
        <v/>
      </c>
      <c r="M72" s="18"/>
      <c r="N72" s="21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</row>
    <row r="73">
      <c r="A73" s="8"/>
      <c r="B73" s="9"/>
      <c r="C73" s="10"/>
      <c r="D73" s="10"/>
      <c r="E73" s="18"/>
      <c r="F73" s="18"/>
      <c r="G73" s="25">
        <f t="shared" ref="G73:I73" si="62">G72</f>
        <v>2022</v>
      </c>
      <c r="H73" s="20" t="str">
        <f t="shared" si="62"/>
        <v>ai4sop2022</v>
      </c>
      <c r="I73" s="20" t="str">
        <f t="shared" si="62"/>
        <v>A INDÚSTRIA 4.0 SOB O PRISMA DA CIÊNCIA DE DADOS: Uma proposta de modelo de maturidade</v>
      </c>
      <c r="J73" s="20" t="str">
        <f t="shared" si="2"/>
        <v/>
      </c>
      <c r="K73" s="20"/>
      <c r="L73" s="20" t="str">
        <f t="shared" si="3"/>
        <v/>
      </c>
      <c r="M73" s="18"/>
      <c r="N73" s="21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</row>
    <row r="74">
      <c r="A74" s="8" t="s">
        <v>54</v>
      </c>
      <c r="B74" s="9">
        <v>2022.0</v>
      </c>
      <c r="C74" s="10" t="s">
        <v>79</v>
      </c>
      <c r="D74" s="10" t="s">
        <v>80</v>
      </c>
      <c r="E74" s="18"/>
      <c r="F74" s="18"/>
      <c r="G74" s="12">
        <f>B74</f>
        <v>2022</v>
      </c>
      <c r="H74" s="13" t="str">
        <f>LOWER(left(O74,1)&amp;left(P74,1)&amp;left(Q74,1)&amp;left(R74,1)&amp;left(S74,1)&amp;left(T74,1))&amp;G74</f>
        <v>cddurd2022</v>
      </c>
      <c r="I74" s="20" t="str">
        <f>trim(C74)</f>
        <v>CIÊNCIA DE DADOS: uma revisão de literatura em periódicos da Ciência da Informação</v>
      </c>
      <c r="J74" s="20" t="str">
        <f t="shared" si="2"/>
        <v>Ciência de Dados</v>
      </c>
      <c r="K74" s="20"/>
      <c r="L74" s="20" t="str">
        <f t="shared" si="3"/>
        <v>ciência de dados</v>
      </c>
      <c r="M74" s="18"/>
      <c r="N74" s="21" t="str">
        <f>IFERROR(__xludf.DUMMYFUNCTION("TRANSPOSE(split(D74,"";"",true,true))"),"Ciência de Dados")</f>
        <v>Ciência de Dados</v>
      </c>
      <c r="O74" s="6" t="str">
        <f>IFERROR(__xludf.DUMMYFUNCTION("split(C74,"" "")"),"CIÊNCIA")</f>
        <v>CIÊNCIA</v>
      </c>
      <c r="P74" s="18" t="str">
        <f>IFERROR(__xludf.DUMMYFUNCTION("""COMPUTED_VALUE"""),"DE")</f>
        <v>DE</v>
      </c>
      <c r="Q74" s="18" t="str">
        <f>IFERROR(__xludf.DUMMYFUNCTION("""COMPUTED_VALUE"""),"DADOS:")</f>
        <v>DADOS:</v>
      </c>
      <c r="R74" s="18" t="str">
        <f>IFERROR(__xludf.DUMMYFUNCTION("""COMPUTED_VALUE"""),"uma")</f>
        <v>uma</v>
      </c>
      <c r="S74" s="18" t="str">
        <f>IFERROR(__xludf.DUMMYFUNCTION("""COMPUTED_VALUE"""),"revisão")</f>
        <v>revisão</v>
      </c>
      <c r="T74" s="18" t="str">
        <f>IFERROR(__xludf.DUMMYFUNCTION("""COMPUTED_VALUE"""),"de")</f>
        <v>de</v>
      </c>
      <c r="U74" s="18" t="str">
        <f>IFERROR(__xludf.DUMMYFUNCTION("""COMPUTED_VALUE"""),"literatura")</f>
        <v>literatura</v>
      </c>
      <c r="V74" s="18" t="str">
        <f>IFERROR(__xludf.DUMMYFUNCTION("""COMPUTED_VALUE"""),"em")</f>
        <v>em</v>
      </c>
      <c r="W74" s="18" t="str">
        <f>IFERROR(__xludf.DUMMYFUNCTION("""COMPUTED_VALUE"""),"periódicos")</f>
        <v>periódicos</v>
      </c>
      <c r="X74" s="18" t="str">
        <f>IFERROR(__xludf.DUMMYFUNCTION("""COMPUTED_VALUE"""),"da")</f>
        <v>da</v>
      </c>
      <c r="Y74" s="18" t="str">
        <f>IFERROR(__xludf.DUMMYFUNCTION("""COMPUTED_VALUE"""),"Ciência")</f>
        <v>Ciência</v>
      </c>
      <c r="Z74" s="18" t="str">
        <f>IFERROR(__xludf.DUMMYFUNCTION("""COMPUTED_VALUE"""),"da")</f>
        <v>da</v>
      </c>
      <c r="AA74" s="18" t="str">
        <f>IFERROR(__xludf.DUMMYFUNCTION("""COMPUTED_VALUE"""),"Informação")</f>
        <v>Informação</v>
      </c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</row>
    <row r="75">
      <c r="A75" s="22"/>
      <c r="B75" s="23"/>
      <c r="C75" s="24"/>
      <c r="D75" s="24"/>
      <c r="E75" s="18"/>
      <c r="F75" s="18"/>
      <c r="G75" s="25">
        <f t="shared" ref="G75:I75" si="63">G74</f>
        <v>2022</v>
      </c>
      <c r="H75" s="20" t="str">
        <f t="shared" si="63"/>
        <v>cddurd2022</v>
      </c>
      <c r="I75" s="20" t="str">
        <f t="shared" si="63"/>
        <v>CIÊNCIA DE DADOS: uma revisão de literatura em periódicos da Ciência da Informação</v>
      </c>
      <c r="J75" s="20" t="str">
        <f t="shared" si="2"/>
        <v>Ciência da Informação</v>
      </c>
      <c r="K75" s="20"/>
      <c r="L75" s="20" t="str">
        <f t="shared" si="3"/>
        <v>ciência da informação</v>
      </c>
      <c r="M75" s="18"/>
      <c r="N75" s="21" t="str">
        <f>IFERROR(__xludf.DUMMYFUNCTION("""COMPUTED_VALUE""")," Ciência da Informação")</f>
        <v> Ciência da Informação</v>
      </c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</row>
    <row r="76">
      <c r="A76" s="22"/>
      <c r="B76" s="23"/>
      <c r="C76" s="24"/>
      <c r="D76" s="24"/>
      <c r="E76" s="18"/>
      <c r="F76" s="18"/>
      <c r="G76" s="25">
        <f t="shared" ref="G76:I76" si="64">G75</f>
        <v>2022</v>
      </c>
      <c r="H76" s="20" t="str">
        <f t="shared" si="64"/>
        <v>cddurd2022</v>
      </c>
      <c r="I76" s="20" t="str">
        <f t="shared" si="64"/>
        <v>CIÊNCIA DE DADOS: uma revisão de literatura em periódicos da Ciência da Informação</v>
      </c>
      <c r="J76" s="20" t="str">
        <f t="shared" si="2"/>
        <v>Produção Científica</v>
      </c>
      <c r="K76" s="20"/>
      <c r="L76" s="20" t="str">
        <f t="shared" si="3"/>
        <v>produção científica</v>
      </c>
      <c r="M76" s="18"/>
      <c r="N76" s="21" t="str">
        <f>IFERROR(__xludf.DUMMYFUNCTION("""COMPUTED_VALUE""")," Produção Científica")</f>
        <v> Produção Científica</v>
      </c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</row>
    <row r="77">
      <c r="A77" s="22"/>
      <c r="B77" s="23"/>
      <c r="C77" s="24"/>
      <c r="D77" s="24"/>
      <c r="E77" s="18"/>
      <c r="F77" s="18"/>
      <c r="G77" s="25">
        <f t="shared" ref="G77:I77" si="65">G76</f>
        <v>2022</v>
      </c>
      <c r="H77" s="20" t="str">
        <f t="shared" si="65"/>
        <v>cddurd2022</v>
      </c>
      <c r="I77" s="20" t="str">
        <f t="shared" si="65"/>
        <v>CIÊNCIA DE DADOS: uma revisão de literatura em periódicos da Ciência da Informação</v>
      </c>
      <c r="J77" s="20" t="str">
        <f t="shared" si="2"/>
        <v>Estrato Qualis</v>
      </c>
      <c r="K77" s="20"/>
      <c r="L77" s="20" t="str">
        <f t="shared" si="3"/>
        <v>estrato qualis</v>
      </c>
      <c r="M77" s="18"/>
      <c r="N77" s="21" t="str">
        <f>IFERROR(__xludf.DUMMYFUNCTION("""COMPUTED_VALUE""")," Estrato Qualis")</f>
        <v> Estrato Qualis</v>
      </c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</row>
    <row r="78">
      <c r="A78" s="22"/>
      <c r="B78" s="23"/>
      <c r="C78" s="24"/>
      <c r="D78" s="24"/>
      <c r="E78" s="18"/>
      <c r="F78" s="18"/>
      <c r="G78" s="25">
        <f t="shared" ref="G78:I78" si="66">G77</f>
        <v>2022</v>
      </c>
      <c r="H78" s="20" t="str">
        <f t="shared" si="66"/>
        <v>cddurd2022</v>
      </c>
      <c r="I78" s="20" t="str">
        <f t="shared" si="66"/>
        <v>CIÊNCIA DE DADOS: uma revisão de literatura em periódicos da Ciência da Informação</v>
      </c>
      <c r="J78" s="20" t="str">
        <f t="shared" si="2"/>
        <v/>
      </c>
      <c r="K78" s="20"/>
      <c r="L78" s="20" t="str">
        <f t="shared" si="3"/>
        <v/>
      </c>
      <c r="M78" s="18"/>
      <c r="N78" s="21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</row>
    <row r="79">
      <c r="A79" s="8"/>
      <c r="B79" s="9"/>
      <c r="C79" s="10"/>
      <c r="D79" s="10"/>
      <c r="E79" s="18"/>
      <c r="F79" s="18"/>
      <c r="G79" s="25">
        <f t="shared" ref="G79:I79" si="67">G78</f>
        <v>2022</v>
      </c>
      <c r="H79" s="20" t="str">
        <f t="shared" si="67"/>
        <v>cddurd2022</v>
      </c>
      <c r="I79" s="20" t="str">
        <f t="shared" si="67"/>
        <v>CIÊNCIA DE DADOS: uma revisão de literatura em periódicos da Ciência da Informação</v>
      </c>
      <c r="J79" s="20" t="str">
        <f t="shared" si="2"/>
        <v/>
      </c>
      <c r="K79" s="20"/>
      <c r="L79" s="20" t="str">
        <f t="shared" si="3"/>
        <v/>
      </c>
      <c r="M79" s="18"/>
      <c r="N79" s="21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</row>
    <row r="80">
      <c r="A80" s="8" t="s">
        <v>54</v>
      </c>
      <c r="B80" s="9">
        <v>2022.0</v>
      </c>
      <c r="C80" s="10" t="s">
        <v>81</v>
      </c>
      <c r="D80" s="10" t="s">
        <v>82</v>
      </c>
      <c r="E80" s="18"/>
      <c r="F80" s="18"/>
      <c r="G80" s="12">
        <f>B80</f>
        <v>2022</v>
      </c>
      <c r="H80" s="13" t="str">
        <f>LOWER(left(O80,1)&amp;left(P80,1)&amp;left(Q80,1)&amp;left(R80,1)&amp;left(S80,1)&amp;left(T80,1))&amp;G80</f>
        <v>ddcaàb2022</v>
      </c>
      <c r="I80" s="20" t="str">
        <f>trim(C80)</f>
        <v>DESCOBERTA DE CONHECIMENTO APLICADA À BASE DE DADOS ABERTOS DA ANVISA SOBRE PREÇOS DE MEDICAMENTOS POR MEIO DE ANÁLISE DE REDES DE INFORMAÇÃO</v>
      </c>
      <c r="J80" s="20" t="str">
        <f t="shared" si="2"/>
        <v>Descoberta de conhecimento</v>
      </c>
      <c r="K80" s="20"/>
      <c r="L80" s="20" t="str">
        <f t="shared" si="3"/>
        <v>descoberta de conhecimento</v>
      </c>
      <c r="M80" s="18"/>
      <c r="N80" s="21" t="str">
        <f>IFERROR(__xludf.DUMMYFUNCTION("TRANSPOSE(split(D80,"";"",true,true))"),"Descoberta de conhecimento")</f>
        <v>Descoberta de conhecimento</v>
      </c>
      <c r="O80" s="6" t="str">
        <f>IFERROR(__xludf.DUMMYFUNCTION("split(C80,"" "")"),"DESCOBERTA")</f>
        <v>DESCOBERTA</v>
      </c>
      <c r="P80" s="18" t="str">
        <f>IFERROR(__xludf.DUMMYFUNCTION("""COMPUTED_VALUE"""),"DE")</f>
        <v>DE</v>
      </c>
      <c r="Q80" s="18" t="str">
        <f>IFERROR(__xludf.DUMMYFUNCTION("""COMPUTED_VALUE"""),"CONHECIMENTO")</f>
        <v>CONHECIMENTO</v>
      </c>
      <c r="R80" s="18" t="str">
        <f>IFERROR(__xludf.DUMMYFUNCTION("""COMPUTED_VALUE"""),"APLICADA")</f>
        <v>APLICADA</v>
      </c>
      <c r="S80" s="18" t="str">
        <f>IFERROR(__xludf.DUMMYFUNCTION("""COMPUTED_VALUE"""),"À")</f>
        <v>À</v>
      </c>
      <c r="T80" s="18" t="str">
        <f>IFERROR(__xludf.DUMMYFUNCTION("""COMPUTED_VALUE"""),"BASE")</f>
        <v>BASE</v>
      </c>
      <c r="U80" s="18" t="str">
        <f>IFERROR(__xludf.DUMMYFUNCTION("""COMPUTED_VALUE"""),"DE")</f>
        <v>DE</v>
      </c>
      <c r="V80" s="18" t="str">
        <f>IFERROR(__xludf.DUMMYFUNCTION("""COMPUTED_VALUE"""),"DADOS")</f>
        <v>DADOS</v>
      </c>
      <c r="W80" s="18" t="str">
        <f>IFERROR(__xludf.DUMMYFUNCTION("""COMPUTED_VALUE"""),"ABERTOS")</f>
        <v>ABERTOS</v>
      </c>
      <c r="X80" s="18" t="str">
        <f>IFERROR(__xludf.DUMMYFUNCTION("""COMPUTED_VALUE"""),"DA")</f>
        <v>DA</v>
      </c>
      <c r="Y80" s="18" t="str">
        <f>IFERROR(__xludf.DUMMYFUNCTION("""COMPUTED_VALUE"""),"ANVISA")</f>
        <v>ANVISA</v>
      </c>
      <c r="Z80" s="18" t="str">
        <f>IFERROR(__xludf.DUMMYFUNCTION("""COMPUTED_VALUE"""),"SOBRE")</f>
        <v>SOBRE</v>
      </c>
      <c r="AA80" s="18" t="str">
        <f>IFERROR(__xludf.DUMMYFUNCTION("""COMPUTED_VALUE"""),"PREÇOS")</f>
        <v>PREÇOS</v>
      </c>
      <c r="AB80" s="18" t="str">
        <f>IFERROR(__xludf.DUMMYFUNCTION("""COMPUTED_VALUE"""),"DE")</f>
        <v>DE</v>
      </c>
      <c r="AC80" s="18" t="str">
        <f>IFERROR(__xludf.DUMMYFUNCTION("""COMPUTED_VALUE"""),"MEDICAMENTOS")</f>
        <v>MEDICAMENTOS</v>
      </c>
      <c r="AD80" s="18" t="str">
        <f>IFERROR(__xludf.DUMMYFUNCTION("""COMPUTED_VALUE"""),"POR")</f>
        <v>POR</v>
      </c>
      <c r="AE80" s="18" t="str">
        <f>IFERROR(__xludf.DUMMYFUNCTION("""COMPUTED_VALUE"""),"MEIO")</f>
        <v>MEIO</v>
      </c>
      <c r="AF80" s="18" t="str">
        <f>IFERROR(__xludf.DUMMYFUNCTION("""COMPUTED_VALUE"""),"DE")</f>
        <v>DE</v>
      </c>
      <c r="AG80" s="18" t="str">
        <f>IFERROR(__xludf.DUMMYFUNCTION("""COMPUTED_VALUE"""),"ANÁLISE")</f>
        <v>ANÁLISE</v>
      </c>
      <c r="AH80" s="18" t="str">
        <f>IFERROR(__xludf.DUMMYFUNCTION("""COMPUTED_VALUE"""),"DE")</f>
        <v>DE</v>
      </c>
      <c r="AI80" s="18" t="str">
        <f>IFERROR(__xludf.DUMMYFUNCTION("""COMPUTED_VALUE"""),"REDES")</f>
        <v>REDES</v>
      </c>
      <c r="AJ80" s="18" t="str">
        <f>IFERROR(__xludf.DUMMYFUNCTION("""COMPUTED_VALUE"""),"DE")</f>
        <v>DE</v>
      </c>
      <c r="AK80" s="18" t="str">
        <f>IFERROR(__xludf.DUMMYFUNCTION("""COMPUTED_VALUE"""),"INFORMAÇÃO")</f>
        <v>INFORMAÇÃO</v>
      </c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</row>
    <row r="81">
      <c r="A81" s="8"/>
      <c r="B81" s="9"/>
      <c r="C81" s="10"/>
      <c r="D81" s="24"/>
      <c r="E81" s="18"/>
      <c r="F81" s="18"/>
      <c r="G81" s="25">
        <f t="shared" ref="G81:I81" si="68">G80</f>
        <v>2022</v>
      </c>
      <c r="H81" s="20" t="str">
        <f t="shared" si="68"/>
        <v>ddcaàb2022</v>
      </c>
      <c r="I81" s="20" t="str">
        <f t="shared" si="68"/>
        <v>DESCOBERTA DE CONHECIMENTO APLICADA À BASE DE DADOS ABERTOS DA ANVISA SOBRE PREÇOS DE MEDICAMENTOS POR MEIO DE ANÁLISE DE REDES DE INFORMAÇÃO</v>
      </c>
      <c r="J81" s="20" t="str">
        <f t="shared" si="2"/>
        <v>Anvisa</v>
      </c>
      <c r="K81" s="20"/>
      <c r="L81" s="20" t="str">
        <f t="shared" si="3"/>
        <v>anvisa</v>
      </c>
      <c r="M81" s="18"/>
      <c r="N81" s="21" t="str">
        <f>IFERROR(__xludf.DUMMYFUNCTION("""COMPUTED_VALUE""")," Anvisa")</f>
        <v> Anvisa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</row>
    <row r="82">
      <c r="A82" s="22"/>
      <c r="B82" s="23"/>
      <c r="C82" s="24"/>
      <c r="D82" s="24"/>
      <c r="E82" s="18"/>
      <c r="F82" s="18"/>
      <c r="G82" s="25">
        <f t="shared" ref="G82:I82" si="69">G81</f>
        <v>2022</v>
      </c>
      <c r="H82" s="20" t="str">
        <f t="shared" si="69"/>
        <v>ddcaàb2022</v>
      </c>
      <c r="I82" s="20" t="str">
        <f t="shared" si="69"/>
        <v>DESCOBERTA DE CONHECIMENTO APLICADA À BASE DE DADOS ABERTOS DA ANVISA SOBRE PREÇOS DE MEDICAMENTOS POR MEIO DE ANÁLISE DE REDES DE INFORMAÇÃO</v>
      </c>
      <c r="J82" s="20" t="str">
        <f t="shared" si="2"/>
        <v>Análise de redes complexas</v>
      </c>
      <c r="K82" s="20"/>
      <c r="L82" s="20" t="str">
        <f t="shared" si="3"/>
        <v>análise de redes complexas</v>
      </c>
      <c r="M82" s="18"/>
      <c r="N82" s="21" t="str">
        <f>IFERROR(__xludf.DUMMYFUNCTION("""COMPUTED_VALUE""")," Análise de redes complexas")</f>
        <v> Análise de redes complexas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</row>
    <row r="83">
      <c r="A83" s="22"/>
      <c r="B83" s="23"/>
      <c r="C83" s="24"/>
      <c r="D83" s="24"/>
      <c r="E83" s="18"/>
      <c r="F83" s="18"/>
      <c r="G83" s="25">
        <f t="shared" ref="G83:I83" si="70">G82</f>
        <v>2022</v>
      </c>
      <c r="H83" s="20" t="str">
        <f t="shared" si="70"/>
        <v>ddcaàb2022</v>
      </c>
      <c r="I83" s="20" t="str">
        <f t="shared" si="70"/>
        <v>DESCOBERTA DE CONHECIMENTO APLICADA À BASE DE DADOS ABERTOS DA ANVISA SOBRE PREÇOS DE MEDICAMENTOS POR MEIO DE ANÁLISE DE REDES DE INFORMAÇÃO</v>
      </c>
      <c r="J83" s="20" t="str">
        <f t="shared" si="2"/>
        <v>Ciência de dados</v>
      </c>
      <c r="K83" s="20"/>
      <c r="L83" s="20" t="str">
        <f t="shared" si="3"/>
        <v>ciência de dados</v>
      </c>
      <c r="M83" s="18"/>
      <c r="N83" s="21" t="str">
        <f>IFERROR(__xludf.DUMMYFUNCTION("""COMPUTED_VALUE""")," Ciência de dados")</f>
        <v> Ciência de dados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</row>
    <row r="84">
      <c r="A84" s="22"/>
      <c r="B84" s="23"/>
      <c r="C84" s="24"/>
      <c r="D84" s="24"/>
      <c r="E84" s="18"/>
      <c r="F84" s="18"/>
      <c r="G84" s="25">
        <f t="shared" ref="G84:I84" si="71">G83</f>
        <v>2022</v>
      </c>
      <c r="H84" s="20" t="str">
        <f t="shared" si="71"/>
        <v>ddcaàb2022</v>
      </c>
      <c r="I84" s="20" t="str">
        <f t="shared" si="71"/>
        <v>DESCOBERTA DE CONHECIMENTO APLICADA À BASE DE DADOS ABERTOS DA ANVISA SOBRE PREÇOS DE MEDICAMENTOS POR MEIO DE ANÁLISE DE REDES DE INFORMAÇÃO</v>
      </c>
      <c r="J84" s="20" t="str">
        <f t="shared" si="2"/>
        <v/>
      </c>
      <c r="K84" s="20"/>
      <c r="L84" s="20" t="str">
        <f t="shared" si="3"/>
        <v/>
      </c>
      <c r="M84" s="18"/>
      <c r="N84" s="21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</row>
    <row r="85">
      <c r="A85" s="8"/>
      <c r="B85" s="9"/>
      <c r="C85" s="10"/>
      <c r="D85" s="10"/>
      <c r="E85" s="18"/>
      <c r="F85" s="18"/>
      <c r="G85" s="25">
        <f t="shared" ref="G85:I85" si="72">G84</f>
        <v>2022</v>
      </c>
      <c r="H85" s="20" t="str">
        <f t="shared" si="72"/>
        <v>ddcaàb2022</v>
      </c>
      <c r="I85" s="20" t="str">
        <f t="shared" si="72"/>
        <v>DESCOBERTA DE CONHECIMENTO APLICADA À BASE DE DADOS ABERTOS DA ANVISA SOBRE PREÇOS DE MEDICAMENTOS POR MEIO DE ANÁLISE DE REDES DE INFORMAÇÃO</v>
      </c>
      <c r="J85" s="20" t="str">
        <f t="shared" si="2"/>
        <v/>
      </c>
      <c r="K85" s="20"/>
      <c r="L85" s="20" t="str">
        <f t="shared" si="3"/>
        <v/>
      </c>
      <c r="M85" s="18"/>
      <c r="N85" s="21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</row>
    <row r="86">
      <c r="A86" s="8" t="s">
        <v>54</v>
      </c>
      <c r="B86" s="9">
        <v>2022.0</v>
      </c>
      <c r="C86" s="10" t="s">
        <v>83</v>
      </c>
      <c r="D86" s="10" t="s">
        <v>84</v>
      </c>
      <c r="E86" s="18"/>
      <c r="F86" s="18"/>
      <c r="G86" s="12">
        <f>B86</f>
        <v>2022</v>
      </c>
      <c r="H86" s="13" t="str">
        <f>LOWER(left(O86,1)&amp;left(P86,1)&amp;left(Q86,1)&amp;left(R86,1)&amp;left(S86,1)&amp;left(T86,1))&amp;G86</f>
        <v>ddreeb2022</v>
      </c>
      <c r="I86" s="20" t="str">
        <f>trim(C86)</f>
        <v>DESCOBERTA DE RELAÇÕES ENTRE ESTADOS BRASILEIROS A PARTIR DE DADOS FINANCEIROS DE OPERAÇÕES DE CRÉDITO DISPONÍVEIS EM DADOS ABERTOS DO BANCO CENTRAL</v>
      </c>
      <c r="J86" s="20" t="str">
        <f t="shared" si="2"/>
        <v>análise de redes de informação</v>
      </c>
      <c r="K86" s="20"/>
      <c r="L86" s="20" t="str">
        <f t="shared" si="3"/>
        <v>análise de redes de informação</v>
      </c>
      <c r="M86" s="18"/>
      <c r="N86" s="21" t="str">
        <f>IFERROR(__xludf.DUMMYFUNCTION("TRANSPOSE(split(D86,"";"",true,true))"),"análise de redes de informação")</f>
        <v>análise de redes de informação</v>
      </c>
      <c r="O86" s="6" t="str">
        <f>IFERROR(__xludf.DUMMYFUNCTION("split(C86,"" "")"),"DESCOBERTA")</f>
        <v>DESCOBERTA</v>
      </c>
      <c r="P86" s="18" t="str">
        <f>IFERROR(__xludf.DUMMYFUNCTION("""COMPUTED_VALUE"""),"DE")</f>
        <v>DE</v>
      </c>
      <c r="Q86" s="18" t="str">
        <f>IFERROR(__xludf.DUMMYFUNCTION("""COMPUTED_VALUE"""),"RELAÇÕES")</f>
        <v>RELAÇÕES</v>
      </c>
      <c r="R86" s="18" t="str">
        <f>IFERROR(__xludf.DUMMYFUNCTION("""COMPUTED_VALUE"""),"ENTRE")</f>
        <v>ENTRE</v>
      </c>
      <c r="S86" s="18" t="str">
        <f>IFERROR(__xludf.DUMMYFUNCTION("""COMPUTED_VALUE"""),"ESTADOS")</f>
        <v>ESTADOS</v>
      </c>
      <c r="T86" s="18" t="str">
        <f>IFERROR(__xludf.DUMMYFUNCTION("""COMPUTED_VALUE"""),"BRASILEIROS")</f>
        <v>BRASILEIROS</v>
      </c>
      <c r="U86" s="18" t="str">
        <f>IFERROR(__xludf.DUMMYFUNCTION("""COMPUTED_VALUE"""),"A")</f>
        <v>A</v>
      </c>
      <c r="V86" s="18" t="str">
        <f>IFERROR(__xludf.DUMMYFUNCTION("""COMPUTED_VALUE"""),"PARTIR")</f>
        <v>PARTIR</v>
      </c>
      <c r="W86" s="18" t="str">
        <f>IFERROR(__xludf.DUMMYFUNCTION("""COMPUTED_VALUE"""),"DE")</f>
        <v>DE</v>
      </c>
      <c r="X86" s="18" t="str">
        <f>IFERROR(__xludf.DUMMYFUNCTION("""COMPUTED_VALUE"""),"DADOS")</f>
        <v>DADOS</v>
      </c>
      <c r="Y86" s="18" t="str">
        <f>IFERROR(__xludf.DUMMYFUNCTION("""COMPUTED_VALUE"""),"FINANCEIROS")</f>
        <v>FINANCEIROS</v>
      </c>
      <c r="Z86" s="18" t="str">
        <f>IFERROR(__xludf.DUMMYFUNCTION("""COMPUTED_VALUE"""),"DE")</f>
        <v>DE</v>
      </c>
      <c r="AA86" s="18" t="str">
        <f>IFERROR(__xludf.DUMMYFUNCTION("""COMPUTED_VALUE"""),"OPERAÇÕES")</f>
        <v>OPERAÇÕES</v>
      </c>
      <c r="AB86" s="18" t="str">
        <f>IFERROR(__xludf.DUMMYFUNCTION("""COMPUTED_VALUE"""),"DE")</f>
        <v>DE</v>
      </c>
      <c r="AC86" s="18" t="str">
        <f>IFERROR(__xludf.DUMMYFUNCTION("""COMPUTED_VALUE"""),"CRÉDITO")</f>
        <v>CRÉDITO</v>
      </c>
      <c r="AD86" s="18" t="str">
        <f>IFERROR(__xludf.DUMMYFUNCTION("""COMPUTED_VALUE"""),"DISPONÍVEIS")</f>
        <v>DISPONÍVEIS</v>
      </c>
      <c r="AE86" s="18" t="str">
        <f>IFERROR(__xludf.DUMMYFUNCTION("""COMPUTED_VALUE"""),"EM")</f>
        <v>EM</v>
      </c>
      <c r="AF86" s="18" t="str">
        <f>IFERROR(__xludf.DUMMYFUNCTION("""COMPUTED_VALUE"""),"DADOS")</f>
        <v>DADOS</v>
      </c>
      <c r="AG86" s="18" t="str">
        <f>IFERROR(__xludf.DUMMYFUNCTION("""COMPUTED_VALUE"""),"ABERTOS")</f>
        <v>ABERTOS</v>
      </c>
      <c r="AH86" s="18" t="str">
        <f>IFERROR(__xludf.DUMMYFUNCTION("""COMPUTED_VALUE"""),"DO")</f>
        <v>DO</v>
      </c>
      <c r="AI86" s="18" t="str">
        <f>IFERROR(__xludf.DUMMYFUNCTION("""COMPUTED_VALUE"""),"BANCO")</f>
        <v>BANCO</v>
      </c>
      <c r="AJ86" s="18" t="str">
        <f>IFERROR(__xludf.DUMMYFUNCTION("""COMPUTED_VALUE"""),"CENTRAL")</f>
        <v>CENTRAL</v>
      </c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</row>
    <row r="87">
      <c r="A87" s="8"/>
      <c r="B87" s="9"/>
      <c r="C87" s="10"/>
      <c r="D87" s="24"/>
      <c r="E87" s="18"/>
      <c r="F87" s="18"/>
      <c r="G87" s="25">
        <f t="shared" ref="G87:I87" si="73">G86</f>
        <v>2022</v>
      </c>
      <c r="H87" s="20" t="str">
        <f t="shared" si="73"/>
        <v>ddreeb2022</v>
      </c>
      <c r="I87" s="20" t="str">
        <f t="shared" si="73"/>
        <v>DESCOBERTA DE RELAÇÕES ENTRE ESTADOS BRASILEIROS A PARTIR DE DADOS FINANCEIROS DE OPERAÇÕES DE CRÉDITO DISPONÍVEIS EM DADOS ABERTOS DO BANCO CENTRAL</v>
      </c>
      <c r="J87" s="20" t="str">
        <f t="shared" si="2"/>
        <v>dados abertos</v>
      </c>
      <c r="K87" s="20"/>
      <c r="L87" s="20" t="str">
        <f t="shared" si="3"/>
        <v>dados abertos</v>
      </c>
      <c r="M87" s="18"/>
      <c r="N87" s="21" t="str">
        <f>IFERROR(__xludf.DUMMYFUNCTION("""COMPUTED_VALUE""")," dados abertos")</f>
        <v> dados abertos</v>
      </c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</row>
    <row r="88">
      <c r="A88" s="22"/>
      <c r="B88" s="23"/>
      <c r="C88" s="24"/>
      <c r="D88" s="24"/>
      <c r="E88" s="18"/>
      <c r="F88" s="18"/>
      <c r="G88" s="25">
        <f t="shared" ref="G88:I88" si="74">G87</f>
        <v>2022</v>
      </c>
      <c r="H88" s="20" t="str">
        <f t="shared" si="74"/>
        <v>ddreeb2022</v>
      </c>
      <c r="I88" s="20" t="str">
        <f t="shared" si="74"/>
        <v>DESCOBERTA DE RELAÇÕES ENTRE ESTADOS BRASILEIROS A PARTIR DE DADOS FINANCEIROS DE OPERAÇÕES DE CRÉDITO DISPONÍVEIS EM DADOS ABERTOS DO BANCO CENTRAL</v>
      </c>
      <c r="J88" s="20" t="str">
        <f t="shared" si="2"/>
        <v>rede monopartida</v>
      </c>
      <c r="K88" s="20"/>
      <c r="L88" s="20" t="str">
        <f t="shared" si="3"/>
        <v>rede monopartida</v>
      </c>
      <c r="M88" s="18"/>
      <c r="N88" s="21" t="str">
        <f>IFERROR(__xludf.DUMMYFUNCTION("""COMPUTED_VALUE""")," rede monopartida")</f>
        <v> rede monopartida</v>
      </c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</row>
    <row r="89">
      <c r="A89" s="22"/>
      <c r="B89" s="23"/>
      <c r="C89" s="24"/>
      <c r="D89" s="24"/>
      <c r="E89" s="18"/>
      <c r="F89" s="18"/>
      <c r="G89" s="25">
        <f t="shared" ref="G89:I89" si="75">G88</f>
        <v>2022</v>
      </c>
      <c r="H89" s="20" t="str">
        <f t="shared" si="75"/>
        <v>ddreeb2022</v>
      </c>
      <c r="I89" s="20" t="str">
        <f t="shared" si="75"/>
        <v>DESCOBERTA DE RELAÇÕES ENTRE ESTADOS BRASILEIROS A PARTIR DE DADOS FINANCEIROS DE OPERAÇÕES DE CRÉDITO DISPONÍVEIS EM DADOS ABERTOS DO BANCO CENTRAL</v>
      </c>
      <c r="J89" s="20" t="str">
        <f t="shared" si="2"/>
        <v>modelagem de dados</v>
      </c>
      <c r="K89" s="20"/>
      <c r="L89" s="20" t="str">
        <f t="shared" si="3"/>
        <v>modelagem de dados</v>
      </c>
      <c r="M89" s="18"/>
      <c r="N89" s="21" t="str">
        <f>IFERROR(__xludf.DUMMYFUNCTION("""COMPUTED_VALUE""")," modelagem de dados")</f>
        <v> modelagem de dados</v>
      </c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</row>
    <row r="90">
      <c r="A90" s="22"/>
      <c r="B90" s="23"/>
      <c r="C90" s="24"/>
      <c r="D90" s="24"/>
      <c r="E90" s="18"/>
      <c r="F90" s="18"/>
      <c r="G90" s="25">
        <f t="shared" ref="G90:I90" si="76">G89</f>
        <v>2022</v>
      </c>
      <c r="H90" s="20" t="str">
        <f t="shared" si="76"/>
        <v>ddreeb2022</v>
      </c>
      <c r="I90" s="20" t="str">
        <f t="shared" si="76"/>
        <v>DESCOBERTA DE RELAÇÕES ENTRE ESTADOS BRASILEIROS A PARTIR DE DADOS FINANCEIROS DE OPERAÇÕES DE CRÉDITO DISPONÍVEIS EM DADOS ABERTOS DO BANCO CENTRAL</v>
      </c>
      <c r="J90" s="20" t="str">
        <f t="shared" si="2"/>
        <v>mercado financeiro</v>
      </c>
      <c r="K90" s="20"/>
      <c r="L90" s="20" t="str">
        <f t="shared" si="3"/>
        <v>mercado financeiro</v>
      </c>
      <c r="M90" s="18"/>
      <c r="N90" s="21" t="str">
        <f>IFERROR(__xludf.DUMMYFUNCTION("""COMPUTED_VALUE""")," mercado financeiro")</f>
        <v> mercado financeiro</v>
      </c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</row>
    <row r="91">
      <c r="A91" s="8"/>
      <c r="B91" s="9"/>
      <c r="C91" s="10"/>
      <c r="D91" s="10"/>
      <c r="E91" s="18"/>
      <c r="F91" s="18"/>
      <c r="G91" s="25">
        <f t="shared" ref="G91:I91" si="77">G90</f>
        <v>2022</v>
      </c>
      <c r="H91" s="20" t="str">
        <f t="shared" si="77"/>
        <v>ddreeb2022</v>
      </c>
      <c r="I91" s="20" t="str">
        <f t="shared" si="77"/>
        <v>DESCOBERTA DE RELAÇÕES ENTRE ESTADOS BRASILEIROS A PARTIR DE DADOS FINANCEIROS DE OPERAÇÕES DE CRÉDITO DISPONÍVEIS EM DADOS ABERTOS DO BANCO CENTRAL</v>
      </c>
      <c r="J91" s="20" t="str">
        <f t="shared" si="2"/>
        <v/>
      </c>
      <c r="K91" s="20"/>
      <c r="L91" s="20" t="str">
        <f t="shared" si="3"/>
        <v/>
      </c>
      <c r="M91" s="18"/>
      <c r="N91" s="21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</row>
    <row r="92">
      <c r="A92" s="8" t="s">
        <v>54</v>
      </c>
      <c r="B92" s="9">
        <v>2022.0</v>
      </c>
      <c r="C92" s="10" t="s">
        <v>85</v>
      </c>
      <c r="D92" s="10" t="s">
        <v>86</v>
      </c>
      <c r="E92" s="18"/>
      <c r="F92" s="18"/>
      <c r="G92" s="12">
        <f>B92</f>
        <v>2022</v>
      </c>
      <c r="H92" s="13" t="str">
        <f>LOWER(left(O92,1)&amp;left(P92,1)&amp;left(Q92,1)&amp;left(R92,1)&amp;left(S92,1)&amp;left(T92,1))&amp;G92</f>
        <v>ddvdfd2022</v>
      </c>
      <c r="I92" s="20" t="str">
        <f>trim(C92)</f>
        <v>DETECÇÃO DE VAZAMENTOS DE FLUIDOS DE FREIOS A AR EM VAGÕES DO TIPO GÔNDOLA ATRAVÉS DO SINAL ACÚSTICO: Um modelo de classificação de falhas</v>
      </c>
      <c r="J92" s="20" t="str">
        <f t="shared" si="2"/>
        <v>detecção de falhas</v>
      </c>
      <c r="K92" s="20"/>
      <c r="L92" s="20" t="str">
        <f t="shared" si="3"/>
        <v>detecção de falhas</v>
      </c>
      <c r="M92" s="18"/>
      <c r="N92" s="21" t="str">
        <f>IFERROR(__xludf.DUMMYFUNCTION("TRANSPOSE(split(D92,"";"",true,true))"),"detecção de falhas")</f>
        <v>detecção de falhas</v>
      </c>
      <c r="O92" s="6" t="str">
        <f>IFERROR(__xludf.DUMMYFUNCTION("split(C92,"" "")"),"DETECÇÃO")</f>
        <v>DETECÇÃO</v>
      </c>
      <c r="P92" s="18" t="str">
        <f>IFERROR(__xludf.DUMMYFUNCTION("""COMPUTED_VALUE"""),"DE")</f>
        <v>DE</v>
      </c>
      <c r="Q92" s="18" t="str">
        <f>IFERROR(__xludf.DUMMYFUNCTION("""COMPUTED_VALUE"""),"VAZAMENTOS")</f>
        <v>VAZAMENTOS</v>
      </c>
      <c r="R92" s="18" t="str">
        <f>IFERROR(__xludf.DUMMYFUNCTION("""COMPUTED_VALUE"""),"DE")</f>
        <v>DE</v>
      </c>
      <c r="S92" s="18" t="str">
        <f>IFERROR(__xludf.DUMMYFUNCTION("""COMPUTED_VALUE"""),"FLUIDOS")</f>
        <v>FLUIDOS</v>
      </c>
      <c r="T92" s="18" t="str">
        <f>IFERROR(__xludf.DUMMYFUNCTION("""COMPUTED_VALUE"""),"DE")</f>
        <v>DE</v>
      </c>
      <c r="U92" s="18" t="str">
        <f>IFERROR(__xludf.DUMMYFUNCTION("""COMPUTED_VALUE"""),"FREIOS")</f>
        <v>FREIOS</v>
      </c>
      <c r="V92" s="18" t="str">
        <f>IFERROR(__xludf.DUMMYFUNCTION("""COMPUTED_VALUE"""),"A")</f>
        <v>A</v>
      </c>
      <c r="W92" s="18" t="str">
        <f>IFERROR(__xludf.DUMMYFUNCTION("""COMPUTED_VALUE"""),"AR")</f>
        <v>AR</v>
      </c>
      <c r="X92" s="18" t="str">
        <f>IFERROR(__xludf.DUMMYFUNCTION("""COMPUTED_VALUE"""),"EM")</f>
        <v>EM</v>
      </c>
      <c r="Y92" s="18" t="str">
        <f>IFERROR(__xludf.DUMMYFUNCTION("""COMPUTED_VALUE"""),"VAGÕES")</f>
        <v>VAGÕES</v>
      </c>
      <c r="Z92" s="18" t="str">
        <f>IFERROR(__xludf.DUMMYFUNCTION("""COMPUTED_VALUE"""),"DO")</f>
        <v>DO</v>
      </c>
      <c r="AA92" s="18" t="str">
        <f>IFERROR(__xludf.DUMMYFUNCTION("""COMPUTED_VALUE"""),"TIPO")</f>
        <v>TIPO</v>
      </c>
      <c r="AB92" s="18" t="str">
        <f>IFERROR(__xludf.DUMMYFUNCTION("""COMPUTED_VALUE"""),"GÔNDOLA")</f>
        <v>GÔNDOLA</v>
      </c>
      <c r="AC92" s="18" t="str">
        <f>IFERROR(__xludf.DUMMYFUNCTION("""COMPUTED_VALUE"""),"ATRAVÉS")</f>
        <v>ATRAVÉS</v>
      </c>
      <c r="AD92" s="18" t="str">
        <f>IFERROR(__xludf.DUMMYFUNCTION("""COMPUTED_VALUE"""),"DO")</f>
        <v>DO</v>
      </c>
      <c r="AE92" s="18" t="str">
        <f>IFERROR(__xludf.DUMMYFUNCTION("""COMPUTED_VALUE"""),"SINAL")</f>
        <v>SINAL</v>
      </c>
      <c r="AF92" s="18" t="str">
        <f>IFERROR(__xludf.DUMMYFUNCTION("""COMPUTED_VALUE"""),"ACÚSTICO:")</f>
        <v>ACÚSTICO:</v>
      </c>
      <c r="AG92" s="18" t="str">
        <f>IFERROR(__xludf.DUMMYFUNCTION("""COMPUTED_VALUE"""),"Um")</f>
        <v>Um</v>
      </c>
      <c r="AH92" s="18" t="str">
        <f>IFERROR(__xludf.DUMMYFUNCTION("""COMPUTED_VALUE"""),"modelo")</f>
        <v>modelo</v>
      </c>
      <c r="AI92" s="18" t="str">
        <f>IFERROR(__xludf.DUMMYFUNCTION("""COMPUTED_VALUE"""),"de")</f>
        <v>de</v>
      </c>
      <c r="AJ92" s="18" t="str">
        <f>IFERROR(__xludf.DUMMYFUNCTION("""COMPUTED_VALUE"""),"classificação")</f>
        <v>classificação</v>
      </c>
      <c r="AK92" s="18" t="str">
        <f>IFERROR(__xludf.DUMMYFUNCTION("""COMPUTED_VALUE"""),"de")</f>
        <v>de</v>
      </c>
      <c r="AL92" s="18" t="str">
        <f>IFERROR(__xludf.DUMMYFUNCTION("""COMPUTED_VALUE"""),"falhas")</f>
        <v>falhas</v>
      </c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</row>
    <row r="93">
      <c r="A93" s="22"/>
      <c r="B93" s="23"/>
      <c r="C93" s="24"/>
      <c r="D93" s="24"/>
      <c r="E93" s="18"/>
      <c r="F93" s="18"/>
      <c r="G93" s="25">
        <f t="shared" ref="G93:I93" si="78">G92</f>
        <v>2022</v>
      </c>
      <c r="H93" s="20" t="str">
        <f t="shared" si="78"/>
        <v>ddvdfd2022</v>
      </c>
      <c r="I93" s="20" t="str">
        <f t="shared" si="78"/>
        <v>DETECÇÃO DE VAZAMENTOS DE FLUIDOS DE FREIOS A AR EM VAGÕES DO TIPO GÔNDOLA ATRAVÉS DO SINAL ACÚSTICO: Um modelo de classificação de falhas</v>
      </c>
      <c r="J93" s="20" t="str">
        <f t="shared" si="2"/>
        <v>freios de vagões</v>
      </c>
      <c r="K93" s="20"/>
      <c r="L93" s="20" t="str">
        <f t="shared" si="3"/>
        <v>freios de vagões</v>
      </c>
      <c r="M93" s="18"/>
      <c r="N93" s="21" t="str">
        <f>IFERROR(__xludf.DUMMYFUNCTION("""COMPUTED_VALUE""")," freios de vagões")</f>
        <v> freios de vagões</v>
      </c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</row>
    <row r="94">
      <c r="A94" s="22"/>
      <c r="B94" s="23"/>
      <c r="C94" s="24"/>
      <c r="D94" s="24"/>
      <c r="E94" s="18"/>
      <c r="F94" s="18"/>
      <c r="G94" s="25">
        <f t="shared" ref="G94:I94" si="79">G93</f>
        <v>2022</v>
      </c>
      <c r="H94" s="20" t="str">
        <f t="shared" si="79"/>
        <v>ddvdfd2022</v>
      </c>
      <c r="I94" s="20" t="str">
        <f t="shared" si="79"/>
        <v>DETECÇÃO DE VAZAMENTOS DE FLUIDOS DE FREIOS A AR EM VAGÕES DO TIPO GÔNDOLA ATRAVÉS DO SINAL ACÚSTICO: Um modelo de classificação de falhas</v>
      </c>
      <c r="J94" s="20" t="str">
        <f t="shared" si="2"/>
        <v>sinal acústico</v>
      </c>
      <c r="K94" s="20"/>
      <c r="L94" s="20" t="str">
        <f t="shared" si="3"/>
        <v>sinal acústico</v>
      </c>
      <c r="M94" s="18"/>
      <c r="N94" s="21" t="str">
        <f>IFERROR(__xludf.DUMMYFUNCTION("""COMPUTED_VALUE""")," sinal acústico")</f>
        <v> sinal acústico</v>
      </c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</row>
    <row r="95">
      <c r="A95" s="22"/>
      <c r="B95" s="23"/>
      <c r="C95" s="24"/>
      <c r="D95" s="24"/>
      <c r="E95" s="18"/>
      <c r="F95" s="18"/>
      <c r="G95" s="25">
        <f t="shared" ref="G95:I95" si="80">G94</f>
        <v>2022</v>
      </c>
      <c r="H95" s="20" t="str">
        <f t="shared" si="80"/>
        <v>ddvdfd2022</v>
      </c>
      <c r="I95" s="20" t="str">
        <f t="shared" si="80"/>
        <v>DETECÇÃO DE VAZAMENTOS DE FLUIDOS DE FREIOS A AR EM VAGÕES DO TIPO GÔNDOLA ATRAVÉS DO SINAL ACÚSTICO: Um modelo de classificação de falhas</v>
      </c>
      <c r="J95" s="20" t="str">
        <f t="shared" si="2"/>
        <v>falhas de freios</v>
      </c>
      <c r="K95" s="20"/>
      <c r="L95" s="20" t="str">
        <f t="shared" si="3"/>
        <v>falhas de freios</v>
      </c>
      <c r="M95" s="18"/>
      <c r="N95" s="21" t="str">
        <f>IFERROR(__xludf.DUMMYFUNCTION("""COMPUTED_VALUE""")," falhas de freios")</f>
        <v> falhas de freios</v>
      </c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</row>
    <row r="96">
      <c r="A96" s="22"/>
      <c r="B96" s="23"/>
      <c r="C96" s="24"/>
      <c r="D96" s="24"/>
      <c r="E96" s="18"/>
      <c r="F96" s="18"/>
      <c r="G96" s="25">
        <f t="shared" ref="G96:I96" si="81">G95</f>
        <v>2022</v>
      </c>
      <c r="H96" s="20" t="str">
        <f t="shared" si="81"/>
        <v>ddvdfd2022</v>
      </c>
      <c r="I96" s="20" t="str">
        <f t="shared" si="81"/>
        <v>DETECÇÃO DE VAZAMENTOS DE FLUIDOS DE FREIOS A AR EM VAGÕES DO TIPO GÔNDOLA ATRAVÉS DO SINAL ACÚSTICO: Um modelo de classificação de falhas</v>
      </c>
      <c r="J96" s="20" t="str">
        <f t="shared" si="2"/>
        <v/>
      </c>
      <c r="K96" s="20"/>
      <c r="L96" s="20" t="str">
        <f t="shared" si="3"/>
        <v/>
      </c>
      <c r="M96" s="18"/>
      <c r="N96" s="21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</row>
    <row r="97">
      <c r="A97" s="8"/>
      <c r="B97" s="9"/>
      <c r="C97" s="10"/>
      <c r="D97" s="10"/>
      <c r="E97" s="18"/>
      <c r="F97" s="18"/>
      <c r="G97" s="25">
        <f t="shared" ref="G97:I97" si="82">G96</f>
        <v>2022</v>
      </c>
      <c r="H97" s="20" t="str">
        <f t="shared" si="82"/>
        <v>ddvdfd2022</v>
      </c>
      <c r="I97" s="20" t="str">
        <f t="shared" si="82"/>
        <v>DETECÇÃO DE VAZAMENTOS DE FLUIDOS DE FREIOS A AR EM VAGÕES DO TIPO GÔNDOLA ATRAVÉS DO SINAL ACÚSTICO: Um modelo de classificação de falhas</v>
      </c>
      <c r="J97" s="20" t="str">
        <f t="shared" si="2"/>
        <v/>
      </c>
      <c r="K97" s="20"/>
      <c r="L97" s="20" t="str">
        <f t="shared" si="3"/>
        <v/>
      </c>
      <c r="M97" s="18"/>
      <c r="N97" s="21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</row>
    <row r="98">
      <c r="A98" s="8" t="s">
        <v>54</v>
      </c>
      <c r="B98" s="9">
        <v>2022.0</v>
      </c>
      <c r="C98" s="10" t="s">
        <v>87</v>
      </c>
      <c r="D98" s="10" t="s">
        <v>88</v>
      </c>
      <c r="E98" s="18"/>
      <c r="F98" s="18"/>
      <c r="G98" s="12">
        <f>B98</f>
        <v>2022</v>
      </c>
      <c r="H98" s="13" t="str">
        <f>LOWER(left(O98,1)&amp;left(P98,1)&amp;left(Q98,1)&amp;left(R98,1)&amp;left(S98,1)&amp;left(T98,1))&amp;G98</f>
        <v>ddfure2022</v>
      </c>
      <c r="I98" s="20" t="str">
        <f>trim(C98)</f>
        <v>Diagnóstico de falhas: Uma revisão e análise de dados de vibração e suas aplicações</v>
      </c>
      <c r="J98" s="20" t="str">
        <f t="shared" si="2"/>
        <v>Diagnóstico de Falhas</v>
      </c>
      <c r="K98" s="20"/>
      <c r="L98" s="20" t="str">
        <f t="shared" si="3"/>
        <v>diagnóstico de falhas</v>
      </c>
      <c r="M98" s="18"/>
      <c r="N98" s="21" t="str">
        <f>IFERROR(__xludf.DUMMYFUNCTION("TRANSPOSE(split(D98,"";"",true,true))"),"Diagnóstico de Falhas")</f>
        <v>Diagnóstico de Falhas</v>
      </c>
      <c r="O98" s="6" t="str">
        <f>IFERROR(__xludf.DUMMYFUNCTION("split(C98,"" "")"),"Diagnóstico")</f>
        <v>Diagnóstico</v>
      </c>
      <c r="P98" s="18" t="str">
        <f>IFERROR(__xludf.DUMMYFUNCTION("""COMPUTED_VALUE"""),"de")</f>
        <v>de</v>
      </c>
      <c r="Q98" s="18" t="str">
        <f>IFERROR(__xludf.DUMMYFUNCTION("""COMPUTED_VALUE"""),"falhas:")</f>
        <v>falhas:</v>
      </c>
      <c r="R98" s="18" t="str">
        <f>IFERROR(__xludf.DUMMYFUNCTION("""COMPUTED_VALUE"""),"Uma")</f>
        <v>Uma</v>
      </c>
      <c r="S98" s="18" t="str">
        <f>IFERROR(__xludf.DUMMYFUNCTION("""COMPUTED_VALUE"""),"revisão")</f>
        <v>revisão</v>
      </c>
      <c r="T98" s="18" t="str">
        <f>IFERROR(__xludf.DUMMYFUNCTION("""COMPUTED_VALUE"""),"e")</f>
        <v>e</v>
      </c>
      <c r="U98" s="18" t="str">
        <f>IFERROR(__xludf.DUMMYFUNCTION("""COMPUTED_VALUE"""),"análise")</f>
        <v>análise</v>
      </c>
      <c r="V98" s="18" t="str">
        <f>IFERROR(__xludf.DUMMYFUNCTION("""COMPUTED_VALUE"""),"de")</f>
        <v>de</v>
      </c>
      <c r="W98" s="18" t="str">
        <f>IFERROR(__xludf.DUMMYFUNCTION("""COMPUTED_VALUE"""),"dados")</f>
        <v>dados</v>
      </c>
      <c r="X98" s="18" t="str">
        <f>IFERROR(__xludf.DUMMYFUNCTION("""COMPUTED_VALUE"""),"de")</f>
        <v>de</v>
      </c>
      <c r="Y98" s="18" t="str">
        <f>IFERROR(__xludf.DUMMYFUNCTION("""COMPUTED_VALUE"""),"vibração")</f>
        <v>vibração</v>
      </c>
      <c r="Z98" s="18" t="str">
        <f>IFERROR(__xludf.DUMMYFUNCTION("""COMPUTED_VALUE"""),"e")</f>
        <v>e</v>
      </c>
      <c r="AA98" s="18" t="str">
        <f>IFERROR(__xludf.DUMMYFUNCTION("""COMPUTED_VALUE"""),"suas")</f>
        <v>suas</v>
      </c>
      <c r="AB98" s="18" t="str">
        <f>IFERROR(__xludf.DUMMYFUNCTION("""COMPUTED_VALUE"""),"aplicações")</f>
        <v>aplicações</v>
      </c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</row>
    <row r="99">
      <c r="A99" s="22"/>
      <c r="B99" s="23"/>
      <c r="C99" s="24"/>
      <c r="D99" s="24"/>
      <c r="E99" s="18"/>
      <c r="F99" s="18"/>
      <c r="G99" s="25">
        <f t="shared" ref="G99:I99" si="83">G98</f>
        <v>2022</v>
      </c>
      <c r="H99" s="20" t="str">
        <f t="shared" si="83"/>
        <v>ddfure2022</v>
      </c>
      <c r="I99" s="20" t="str">
        <f t="shared" si="83"/>
        <v>Diagnóstico de falhas: Uma revisão e análise de dados de vibração e suas aplicações</v>
      </c>
      <c r="J99" s="20" t="str">
        <f t="shared" si="2"/>
        <v>Aprendizado de Máquina</v>
      </c>
      <c r="K99" s="20"/>
      <c r="L99" s="20" t="str">
        <f t="shared" si="3"/>
        <v>aprendizado de máquina</v>
      </c>
      <c r="M99" s="18"/>
      <c r="N99" s="21" t="str">
        <f>IFERROR(__xludf.DUMMYFUNCTION("""COMPUTED_VALUE""")," Aprendizado de Máquina")</f>
        <v> Aprendizado de Máquina</v>
      </c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</row>
    <row r="100">
      <c r="A100" s="22"/>
      <c r="B100" s="23"/>
      <c r="C100" s="24"/>
      <c r="D100" s="24"/>
      <c r="E100" s="18"/>
      <c r="F100" s="18"/>
      <c r="G100" s="25">
        <f t="shared" ref="G100:I100" si="84">G99</f>
        <v>2022</v>
      </c>
      <c r="H100" s="20" t="str">
        <f t="shared" si="84"/>
        <v>ddfure2022</v>
      </c>
      <c r="I100" s="20" t="str">
        <f t="shared" si="84"/>
        <v>Diagnóstico de falhas: Uma revisão e análise de dados de vibração e suas aplicações</v>
      </c>
      <c r="J100" s="20" t="str">
        <f t="shared" si="2"/>
        <v>Análise de Dados de Vibração</v>
      </c>
      <c r="K100" s="20"/>
      <c r="L100" s="20" t="str">
        <f t="shared" si="3"/>
        <v>análise de dados de vibração</v>
      </c>
      <c r="M100" s="18"/>
      <c r="N100" s="21" t="str">
        <f>IFERROR(__xludf.DUMMYFUNCTION("""COMPUTED_VALUE""")," Análise de Dados de Vibração")</f>
        <v> Análise de Dados de Vibração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</row>
    <row r="101">
      <c r="A101" s="22"/>
      <c r="B101" s="23"/>
      <c r="C101" s="24"/>
      <c r="D101" s="24"/>
      <c r="E101" s="18"/>
      <c r="F101" s="18"/>
      <c r="G101" s="25">
        <f t="shared" ref="G101:I101" si="85">G100</f>
        <v>2022</v>
      </c>
      <c r="H101" s="20" t="str">
        <f t="shared" si="85"/>
        <v>ddfure2022</v>
      </c>
      <c r="I101" s="20" t="str">
        <f t="shared" si="85"/>
        <v>Diagnóstico de falhas: Uma revisão e análise de dados de vibração e suas aplicações</v>
      </c>
      <c r="J101" s="20" t="str">
        <f t="shared" si="2"/>
        <v>Bias de Similaridade</v>
      </c>
      <c r="K101" s="20"/>
      <c r="L101" s="20" t="str">
        <f t="shared" si="3"/>
        <v>bias de similaridade</v>
      </c>
      <c r="M101" s="18"/>
      <c r="N101" s="21" t="str">
        <f>IFERROR(__xludf.DUMMYFUNCTION("""COMPUTED_VALUE""")," Bias de Similaridade")</f>
        <v> Bias de Similaridade</v>
      </c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</row>
    <row r="102">
      <c r="A102" s="22"/>
      <c r="B102" s="23"/>
      <c r="C102" s="24"/>
      <c r="D102" s="24"/>
      <c r="E102" s="18"/>
      <c r="F102" s="18"/>
      <c r="G102" s="25">
        <f t="shared" ref="G102:I102" si="86">G101</f>
        <v>2022</v>
      </c>
      <c r="H102" s="20" t="str">
        <f t="shared" si="86"/>
        <v>ddfure2022</v>
      </c>
      <c r="I102" s="20" t="str">
        <f t="shared" si="86"/>
        <v>Diagnóstico de falhas: Uma revisão e análise de dados de vibração e suas aplicações</v>
      </c>
      <c r="J102" s="20" t="str">
        <f t="shared" si="2"/>
        <v/>
      </c>
      <c r="K102" s="20"/>
      <c r="L102" s="20" t="str">
        <f t="shared" si="3"/>
        <v/>
      </c>
      <c r="M102" s="18"/>
      <c r="N102" s="21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</row>
    <row r="103">
      <c r="A103" s="8"/>
      <c r="B103" s="9"/>
      <c r="C103" s="10"/>
      <c r="D103" s="10"/>
      <c r="E103" s="18"/>
      <c r="F103" s="18"/>
      <c r="G103" s="25">
        <f t="shared" ref="G103:I103" si="87">G102</f>
        <v>2022</v>
      </c>
      <c r="H103" s="20" t="str">
        <f t="shared" si="87"/>
        <v>ddfure2022</v>
      </c>
      <c r="I103" s="20" t="str">
        <f t="shared" si="87"/>
        <v>Diagnóstico de falhas: Uma revisão e análise de dados de vibração e suas aplicações</v>
      </c>
      <c r="J103" s="20" t="str">
        <f t="shared" si="2"/>
        <v/>
      </c>
      <c r="K103" s="20"/>
      <c r="L103" s="20" t="str">
        <f t="shared" si="3"/>
        <v/>
      </c>
      <c r="M103" s="18"/>
      <c r="N103" s="21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</row>
    <row r="104">
      <c r="A104" s="8" t="s">
        <v>54</v>
      </c>
      <c r="B104" s="9">
        <v>2022.0</v>
      </c>
      <c r="C104" s="10" t="s">
        <v>89</v>
      </c>
      <c r="D104" s="10" t="s">
        <v>90</v>
      </c>
      <c r="E104" s="18"/>
      <c r="F104" s="18"/>
      <c r="G104" s="12">
        <f>B104</f>
        <v>2022</v>
      </c>
      <c r="H104" s="13" t="str">
        <f>LOWER(left(O104,1)&amp;left(P104,1)&amp;left(Q104,1)&amp;left(R104,1)&amp;left(S104,1)&amp;left(T104,1))&amp;G104</f>
        <v>ldeann2022</v>
      </c>
      <c r="I104" s="20" t="str">
        <f>trim(C104)</f>
        <v>LIBERDADE DE EXPRESSÃO: A narrativa no Twitter em um contexto de Análise de Redes Sociais</v>
      </c>
      <c r="J104" s="20" t="str">
        <f t="shared" si="2"/>
        <v>Análise de Redes Sociais</v>
      </c>
      <c r="K104" s="20"/>
      <c r="L104" s="20" t="str">
        <f t="shared" si="3"/>
        <v>análise de redes sociais</v>
      </c>
      <c r="M104" s="18"/>
      <c r="N104" s="21" t="str">
        <f>IFERROR(__xludf.DUMMYFUNCTION("TRANSPOSE(split(D104,"";"",true,true))"),"Análise de Redes Sociais")</f>
        <v>Análise de Redes Sociais</v>
      </c>
      <c r="O104" s="6" t="str">
        <f>IFERROR(__xludf.DUMMYFUNCTION("split(C104,"" "")"),"LIBERDADE")</f>
        <v>LIBERDADE</v>
      </c>
      <c r="P104" s="18" t="str">
        <f>IFERROR(__xludf.DUMMYFUNCTION("""COMPUTED_VALUE"""),"DE")</f>
        <v>DE</v>
      </c>
      <c r="Q104" s="18" t="str">
        <f>IFERROR(__xludf.DUMMYFUNCTION("""COMPUTED_VALUE"""),"EXPRESSÃO:")</f>
        <v>EXPRESSÃO:</v>
      </c>
      <c r="R104" s="18" t="str">
        <f>IFERROR(__xludf.DUMMYFUNCTION("""COMPUTED_VALUE"""),"A")</f>
        <v>A</v>
      </c>
      <c r="S104" s="18" t="str">
        <f>IFERROR(__xludf.DUMMYFUNCTION("""COMPUTED_VALUE"""),"narrativa")</f>
        <v>narrativa</v>
      </c>
      <c r="T104" s="18" t="str">
        <f>IFERROR(__xludf.DUMMYFUNCTION("""COMPUTED_VALUE"""),"no")</f>
        <v>no</v>
      </c>
      <c r="U104" s="18" t="str">
        <f>IFERROR(__xludf.DUMMYFUNCTION("""COMPUTED_VALUE"""),"Twitter")</f>
        <v>Twitter</v>
      </c>
      <c r="V104" s="18" t="str">
        <f>IFERROR(__xludf.DUMMYFUNCTION("""COMPUTED_VALUE"""),"em")</f>
        <v>em</v>
      </c>
      <c r="W104" s="18" t="str">
        <f>IFERROR(__xludf.DUMMYFUNCTION("""COMPUTED_VALUE"""),"um")</f>
        <v>um</v>
      </c>
      <c r="X104" s="18" t="str">
        <f>IFERROR(__xludf.DUMMYFUNCTION("""COMPUTED_VALUE"""),"contexto")</f>
        <v>contexto</v>
      </c>
      <c r="Y104" s="18" t="str">
        <f>IFERROR(__xludf.DUMMYFUNCTION("""COMPUTED_VALUE"""),"de")</f>
        <v>de</v>
      </c>
      <c r="Z104" s="18" t="str">
        <f>IFERROR(__xludf.DUMMYFUNCTION("""COMPUTED_VALUE"""),"Análise")</f>
        <v>Análise</v>
      </c>
      <c r="AA104" s="18" t="str">
        <f>IFERROR(__xludf.DUMMYFUNCTION("""COMPUTED_VALUE"""),"de")</f>
        <v>de</v>
      </c>
      <c r="AB104" s="18" t="str">
        <f>IFERROR(__xludf.DUMMYFUNCTION("""COMPUTED_VALUE"""),"Redes")</f>
        <v>Redes</v>
      </c>
      <c r="AC104" s="18" t="str">
        <f>IFERROR(__xludf.DUMMYFUNCTION("""COMPUTED_VALUE"""),"Sociais")</f>
        <v>Sociais</v>
      </c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</row>
    <row r="105">
      <c r="A105" s="22"/>
      <c r="B105" s="23"/>
      <c r="C105" s="24"/>
      <c r="D105" s="24"/>
      <c r="E105" s="18"/>
      <c r="F105" s="18"/>
      <c r="G105" s="25">
        <f t="shared" ref="G105:I105" si="88">G104</f>
        <v>2022</v>
      </c>
      <c r="H105" s="20" t="str">
        <f t="shared" si="88"/>
        <v>ldeann2022</v>
      </c>
      <c r="I105" s="20" t="str">
        <f t="shared" si="88"/>
        <v>LIBERDADE DE EXPRESSÃO: A narrativa no Twitter em um contexto de Análise de Redes Sociais</v>
      </c>
      <c r="J105" s="20" t="str">
        <f t="shared" si="2"/>
        <v>Liberdade de Expressão</v>
      </c>
      <c r="K105" s="20"/>
      <c r="L105" s="20" t="str">
        <f t="shared" si="3"/>
        <v>liberdade de expressão</v>
      </c>
      <c r="M105" s="18"/>
      <c r="N105" s="21" t="str">
        <f>IFERROR(__xludf.DUMMYFUNCTION("""COMPUTED_VALUE""")," Liberdade de Expressão")</f>
        <v> Liberdade de Expressão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</row>
    <row r="106">
      <c r="A106" s="22"/>
      <c r="B106" s="23"/>
      <c r="C106" s="24"/>
      <c r="D106" s="24"/>
      <c r="E106" s="18"/>
      <c r="F106" s="18"/>
      <c r="G106" s="25">
        <f t="shared" ref="G106:I106" si="89">G105</f>
        <v>2022</v>
      </c>
      <c r="H106" s="20" t="str">
        <f t="shared" si="89"/>
        <v>ldeann2022</v>
      </c>
      <c r="I106" s="20" t="str">
        <f t="shared" si="89"/>
        <v>LIBERDADE DE EXPRESSÃO: A narrativa no Twitter em um contexto de Análise de Redes Sociais</v>
      </c>
      <c r="J106" s="20" t="str">
        <f t="shared" si="2"/>
        <v>Twitter</v>
      </c>
      <c r="K106" s="20"/>
      <c r="L106" s="20" t="str">
        <f t="shared" si="3"/>
        <v>twitter</v>
      </c>
      <c r="M106" s="18"/>
      <c r="N106" s="21" t="str">
        <f>IFERROR(__xludf.DUMMYFUNCTION("""COMPUTED_VALUE""")," Twitter")</f>
        <v> Twitter</v>
      </c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</row>
    <row r="107">
      <c r="A107" s="22"/>
      <c r="B107" s="23"/>
      <c r="C107" s="24"/>
      <c r="D107" s="24"/>
      <c r="E107" s="18"/>
      <c r="F107" s="18"/>
      <c r="G107" s="25">
        <f t="shared" ref="G107:I107" si="90">G106</f>
        <v>2022</v>
      </c>
      <c r="H107" s="20" t="str">
        <f t="shared" si="90"/>
        <v>ldeann2022</v>
      </c>
      <c r="I107" s="20" t="str">
        <f t="shared" si="90"/>
        <v>LIBERDADE DE EXPRESSÃO: A narrativa no Twitter em um contexto de Análise de Redes Sociais</v>
      </c>
      <c r="J107" s="20" t="str">
        <f t="shared" si="2"/>
        <v/>
      </c>
      <c r="K107" s="20"/>
      <c r="L107" s="20" t="str">
        <f t="shared" si="3"/>
        <v/>
      </c>
      <c r="M107" s="18"/>
      <c r="N107" s="21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</row>
    <row r="108">
      <c r="A108" s="22"/>
      <c r="B108" s="23"/>
      <c r="C108" s="24"/>
      <c r="D108" s="24"/>
      <c r="E108" s="18"/>
      <c r="F108" s="18"/>
      <c r="G108" s="25">
        <f t="shared" ref="G108:I108" si="91">G107</f>
        <v>2022</v>
      </c>
      <c r="H108" s="20" t="str">
        <f t="shared" si="91"/>
        <v>ldeann2022</v>
      </c>
      <c r="I108" s="20" t="str">
        <f t="shared" si="91"/>
        <v>LIBERDADE DE EXPRESSÃO: A narrativa no Twitter em um contexto de Análise de Redes Sociais</v>
      </c>
      <c r="J108" s="20" t="str">
        <f t="shared" si="2"/>
        <v/>
      </c>
      <c r="K108" s="20"/>
      <c r="L108" s="20" t="str">
        <f t="shared" si="3"/>
        <v/>
      </c>
      <c r="M108" s="18"/>
      <c r="N108" s="21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</row>
    <row r="109">
      <c r="A109" s="8"/>
      <c r="B109" s="9"/>
      <c r="C109" s="10"/>
      <c r="D109" s="10"/>
      <c r="E109" s="18"/>
      <c r="F109" s="18"/>
      <c r="G109" s="25">
        <f t="shared" ref="G109:I109" si="92">G108</f>
        <v>2022</v>
      </c>
      <c r="H109" s="20" t="str">
        <f t="shared" si="92"/>
        <v>ldeann2022</v>
      </c>
      <c r="I109" s="20" t="str">
        <f t="shared" si="92"/>
        <v>LIBERDADE DE EXPRESSÃO: A narrativa no Twitter em um contexto de Análise de Redes Sociais</v>
      </c>
      <c r="J109" s="20" t="str">
        <f t="shared" si="2"/>
        <v/>
      </c>
      <c r="K109" s="20"/>
      <c r="L109" s="20" t="str">
        <f t="shared" si="3"/>
        <v/>
      </c>
      <c r="M109" s="18"/>
      <c r="N109" s="21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</row>
    <row r="110">
      <c r="A110" s="8" t="s">
        <v>54</v>
      </c>
      <c r="B110" s="9">
        <v>2022.0</v>
      </c>
      <c r="C110" s="10" t="s">
        <v>91</v>
      </c>
      <c r="D110" s="10" t="s">
        <v>92</v>
      </c>
      <c r="E110" s="18"/>
      <c r="F110" s="18"/>
      <c r="G110" s="12">
        <f>B110</f>
        <v>2022</v>
      </c>
      <c r="H110" s="13" t="str">
        <f>LOWER(left(O110,1)&amp;left(P110,1)&amp;left(Q110,1)&amp;left(R110,1)&amp;left(S110,1)&amp;left(T110,1))&amp;G110</f>
        <v>adrdcd2022</v>
      </c>
      <c r="I110" s="20" t="str">
        <f>trim(C110)</f>
        <v>Análise da regionalidade do conjunto de artigos publicados em eventos científicos</v>
      </c>
      <c r="J110" s="20" t="str">
        <f t="shared" si="2"/>
        <v>Produção científica</v>
      </c>
      <c r="K110" s="20"/>
      <c r="L110" s="20" t="str">
        <f t="shared" si="3"/>
        <v>produção científica</v>
      </c>
      <c r="M110" s="18"/>
      <c r="N110" s="21" t="str">
        <f>IFERROR(__xludf.DUMMYFUNCTION("TRANSPOSE(split(D110,"";"",true,true))"),"Produção científica")</f>
        <v>Produção científica</v>
      </c>
      <c r="O110" s="6" t="str">
        <f>IFERROR(__xludf.DUMMYFUNCTION("split(C110,"" "")"),"Análise")</f>
        <v>Análise</v>
      </c>
      <c r="P110" s="18" t="str">
        <f>IFERROR(__xludf.DUMMYFUNCTION("""COMPUTED_VALUE"""),"da")</f>
        <v>da</v>
      </c>
      <c r="Q110" s="18" t="str">
        <f>IFERROR(__xludf.DUMMYFUNCTION("""COMPUTED_VALUE"""),"regionalidade")</f>
        <v>regionalidade</v>
      </c>
      <c r="R110" s="18" t="str">
        <f>IFERROR(__xludf.DUMMYFUNCTION("""COMPUTED_VALUE"""),"do")</f>
        <v>do</v>
      </c>
      <c r="S110" s="18" t="str">
        <f>IFERROR(__xludf.DUMMYFUNCTION("""COMPUTED_VALUE"""),"conjunto")</f>
        <v>conjunto</v>
      </c>
      <c r="T110" s="18" t="str">
        <f>IFERROR(__xludf.DUMMYFUNCTION("""COMPUTED_VALUE"""),"de")</f>
        <v>de</v>
      </c>
      <c r="U110" s="18" t="str">
        <f>IFERROR(__xludf.DUMMYFUNCTION("""COMPUTED_VALUE"""),"artigos")</f>
        <v>artigos</v>
      </c>
      <c r="V110" s="18" t="str">
        <f>IFERROR(__xludf.DUMMYFUNCTION("""COMPUTED_VALUE"""),"publicados")</f>
        <v>publicados</v>
      </c>
      <c r="W110" s="18" t="str">
        <f>IFERROR(__xludf.DUMMYFUNCTION("""COMPUTED_VALUE"""),"em")</f>
        <v>em</v>
      </c>
      <c r="X110" s="18" t="str">
        <f>IFERROR(__xludf.DUMMYFUNCTION("""COMPUTED_VALUE"""),"eventos")</f>
        <v>eventos</v>
      </c>
      <c r="Y110" s="18" t="str">
        <f>IFERROR(__xludf.DUMMYFUNCTION("""COMPUTED_VALUE"""),"científicos")</f>
        <v>científicos</v>
      </c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</row>
    <row r="111">
      <c r="A111" s="22"/>
      <c r="B111" s="23"/>
      <c r="C111" s="24"/>
      <c r="D111" s="24"/>
      <c r="E111" s="18"/>
      <c r="F111" s="18"/>
      <c r="G111" s="25">
        <f t="shared" ref="G111:I111" si="93">G110</f>
        <v>2022</v>
      </c>
      <c r="H111" s="20" t="str">
        <f t="shared" si="93"/>
        <v>adrdcd2022</v>
      </c>
      <c r="I111" s="20" t="str">
        <f t="shared" si="93"/>
        <v>Análise da regionalidade do conjunto de artigos publicados em eventos científicos</v>
      </c>
      <c r="J111" s="20" t="str">
        <f t="shared" si="2"/>
        <v>eventos científicos</v>
      </c>
      <c r="K111" s="20"/>
      <c r="L111" s="20" t="str">
        <f t="shared" si="3"/>
        <v>eventos científicos</v>
      </c>
      <c r="M111" s="18"/>
      <c r="N111" s="21" t="str">
        <f>IFERROR(__xludf.DUMMYFUNCTION("""COMPUTED_VALUE""")," eventos científicos")</f>
        <v> eventos científicos</v>
      </c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</row>
    <row r="112">
      <c r="A112" s="22"/>
      <c r="B112" s="23"/>
      <c r="C112" s="24"/>
      <c r="D112" s="24"/>
      <c r="E112" s="18"/>
      <c r="F112" s="18"/>
      <c r="G112" s="25">
        <f t="shared" ref="G112:I112" si="94">G111</f>
        <v>2022</v>
      </c>
      <c r="H112" s="20" t="str">
        <f t="shared" si="94"/>
        <v>adrdcd2022</v>
      </c>
      <c r="I112" s="20" t="str">
        <f t="shared" si="94"/>
        <v>Análise da regionalidade do conjunto de artigos publicados em eventos científicos</v>
      </c>
      <c r="J112" s="20" t="str">
        <f t="shared" si="2"/>
        <v>anais</v>
      </c>
      <c r="K112" s="20"/>
      <c r="L112" s="20" t="str">
        <f t="shared" si="3"/>
        <v>anais</v>
      </c>
      <c r="M112" s="18"/>
      <c r="N112" s="21" t="str">
        <f>IFERROR(__xludf.DUMMYFUNCTION("""COMPUTED_VALUE""")," anais")</f>
        <v> anais</v>
      </c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</row>
    <row r="113">
      <c r="A113" s="22"/>
      <c r="B113" s="23"/>
      <c r="C113" s="24"/>
      <c r="D113" s="24"/>
      <c r="E113" s="18"/>
      <c r="F113" s="18"/>
      <c r="G113" s="25">
        <f t="shared" ref="G113:I113" si="95">G112</f>
        <v>2022</v>
      </c>
      <c r="H113" s="20" t="str">
        <f t="shared" si="95"/>
        <v>adrdcd2022</v>
      </c>
      <c r="I113" s="20" t="str">
        <f t="shared" si="95"/>
        <v>Análise da regionalidade do conjunto de artigos publicados em eventos científicos</v>
      </c>
      <c r="J113" s="20" t="str">
        <f t="shared" si="2"/>
        <v>Plataforma Lattes</v>
      </c>
      <c r="K113" s="20"/>
      <c r="L113" s="20" t="str">
        <f t="shared" si="3"/>
        <v>plataforma lattes</v>
      </c>
      <c r="M113" s="18"/>
      <c r="N113" s="21" t="str">
        <f>IFERROR(__xludf.DUMMYFUNCTION("""COMPUTED_VALUE""")," Plataforma Lattes")</f>
        <v> Plataforma Lattes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</row>
    <row r="114">
      <c r="A114" s="22"/>
      <c r="B114" s="23"/>
      <c r="C114" s="24"/>
      <c r="D114" s="24"/>
      <c r="E114" s="18"/>
      <c r="F114" s="18"/>
      <c r="G114" s="25">
        <f t="shared" ref="G114:I114" si="96">G113</f>
        <v>2022</v>
      </c>
      <c r="H114" s="20" t="str">
        <f t="shared" si="96"/>
        <v>adrdcd2022</v>
      </c>
      <c r="I114" s="20" t="str">
        <f t="shared" si="96"/>
        <v>Análise da regionalidade do conjunto de artigos publicados em eventos científicos</v>
      </c>
      <c r="J114" s="20" t="str">
        <f t="shared" si="2"/>
        <v/>
      </c>
      <c r="K114" s="20"/>
      <c r="L114" s="20" t="str">
        <f t="shared" si="3"/>
        <v/>
      </c>
      <c r="M114" s="18"/>
      <c r="N114" s="21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</row>
    <row r="115">
      <c r="A115" s="8"/>
      <c r="B115" s="9"/>
      <c r="C115" s="10"/>
      <c r="D115" s="10"/>
      <c r="E115" s="18"/>
      <c r="F115" s="18"/>
      <c r="G115" s="25">
        <f t="shared" ref="G115:I115" si="97">G114</f>
        <v>2022</v>
      </c>
      <c r="H115" s="20" t="str">
        <f t="shared" si="97"/>
        <v>adrdcd2022</v>
      </c>
      <c r="I115" s="20" t="str">
        <f t="shared" si="97"/>
        <v>Análise da regionalidade do conjunto de artigos publicados em eventos científicos</v>
      </c>
      <c r="J115" s="20" t="str">
        <f t="shared" si="2"/>
        <v/>
      </c>
      <c r="K115" s="20"/>
      <c r="L115" s="20" t="str">
        <f t="shared" si="3"/>
        <v/>
      </c>
      <c r="M115" s="18"/>
      <c r="N115" s="21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</row>
    <row r="116">
      <c r="A116" s="8" t="s">
        <v>54</v>
      </c>
      <c r="B116" s="9">
        <v>2022.0</v>
      </c>
      <c r="C116" s="10" t="s">
        <v>93</v>
      </c>
      <c r="D116" s="10" t="s">
        <v>94</v>
      </c>
      <c r="E116" s="18"/>
      <c r="F116" s="18"/>
      <c r="G116" s="12">
        <f>B116</f>
        <v>2022</v>
      </c>
      <c r="H116" s="13" t="str">
        <f>LOWER(left(O116,1)&amp;left(P116,1)&amp;left(Q116,1)&amp;left(R116,1)&amp;left(S116,1)&amp;left(T116,1))&amp;G116</f>
        <v>cadapn2022</v>
      </c>
      <c r="I116" s="20" t="str">
        <f>trim(C116)</f>
        <v>CLASSIFICAÇÃO AUTOMÁTICA DE ARTIGOS PUBLICADOS NO ENCONTRO NACIONAL DE PESQUISA EM CIÊNCIA DA INFORMAÇÃO - 2021</v>
      </c>
      <c r="J116" s="20" t="str">
        <f t="shared" si="2"/>
        <v>Ciência da Informação</v>
      </c>
      <c r="K116" s="20"/>
      <c r="L116" s="20" t="str">
        <f t="shared" si="3"/>
        <v>ciência da informação</v>
      </c>
      <c r="M116" s="18"/>
      <c r="N116" s="21" t="str">
        <f>IFERROR(__xludf.DUMMYFUNCTION("TRANSPOSE(split(D116,"";"",true,true))"),"Ciência da Informação")</f>
        <v>Ciência da Informação</v>
      </c>
      <c r="O116" s="6" t="str">
        <f>IFERROR(__xludf.DUMMYFUNCTION("split(C116,"" "")"),"CLASSIFICAÇÃO")</f>
        <v>CLASSIFICAÇÃO</v>
      </c>
      <c r="P116" s="18" t="str">
        <f>IFERROR(__xludf.DUMMYFUNCTION("""COMPUTED_VALUE"""),"AUTOMÁTICA")</f>
        <v>AUTOMÁTICA</v>
      </c>
      <c r="Q116" s="18" t="str">
        <f>IFERROR(__xludf.DUMMYFUNCTION("""COMPUTED_VALUE"""),"DE")</f>
        <v>DE</v>
      </c>
      <c r="R116" s="18" t="str">
        <f>IFERROR(__xludf.DUMMYFUNCTION("""COMPUTED_VALUE"""),"ARTIGOS")</f>
        <v>ARTIGOS</v>
      </c>
      <c r="S116" s="18" t="str">
        <f>IFERROR(__xludf.DUMMYFUNCTION("""COMPUTED_VALUE"""),"PUBLICADOS")</f>
        <v>PUBLICADOS</v>
      </c>
      <c r="T116" s="18" t="str">
        <f>IFERROR(__xludf.DUMMYFUNCTION("""COMPUTED_VALUE"""),"NO")</f>
        <v>NO</v>
      </c>
      <c r="U116" s="18" t="str">
        <f>IFERROR(__xludf.DUMMYFUNCTION("""COMPUTED_VALUE"""),"ENCONTRO")</f>
        <v>ENCONTRO</v>
      </c>
      <c r="V116" s="18" t="str">
        <f>IFERROR(__xludf.DUMMYFUNCTION("""COMPUTED_VALUE"""),"NACIONAL")</f>
        <v>NACIONAL</v>
      </c>
      <c r="W116" s="18" t="str">
        <f>IFERROR(__xludf.DUMMYFUNCTION("""COMPUTED_VALUE"""),"DE")</f>
        <v>DE</v>
      </c>
      <c r="X116" s="18" t="str">
        <f>IFERROR(__xludf.DUMMYFUNCTION("""COMPUTED_VALUE"""),"PESQUISA")</f>
        <v>PESQUISA</v>
      </c>
      <c r="Y116" s="18" t="str">
        <f>IFERROR(__xludf.DUMMYFUNCTION("""COMPUTED_VALUE"""),"EM")</f>
        <v>EM</v>
      </c>
      <c r="Z116" s="18" t="str">
        <f>IFERROR(__xludf.DUMMYFUNCTION("""COMPUTED_VALUE"""),"CIÊNCIA")</f>
        <v>CIÊNCIA</v>
      </c>
      <c r="AA116" s="18" t="str">
        <f>IFERROR(__xludf.DUMMYFUNCTION("""COMPUTED_VALUE"""),"DA")</f>
        <v>DA</v>
      </c>
      <c r="AB116" s="18" t="str">
        <f>IFERROR(__xludf.DUMMYFUNCTION("""COMPUTED_VALUE"""),"INFORMAÇÃO")</f>
        <v>INFORMAÇÃO</v>
      </c>
      <c r="AC116" s="18" t="str">
        <f>IFERROR(__xludf.DUMMYFUNCTION("""COMPUTED_VALUE"""),"-")</f>
        <v>-</v>
      </c>
      <c r="AD116" s="18">
        <f>IFERROR(__xludf.DUMMYFUNCTION("""COMPUTED_VALUE"""),2021.0)</f>
        <v>2021</v>
      </c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</row>
    <row r="117">
      <c r="A117" s="22"/>
      <c r="B117" s="23"/>
      <c r="C117" s="24"/>
      <c r="D117" s="24"/>
      <c r="E117" s="18"/>
      <c r="F117" s="18"/>
      <c r="G117" s="25">
        <f t="shared" ref="G117:I117" si="98">G116</f>
        <v>2022</v>
      </c>
      <c r="H117" s="20" t="str">
        <f t="shared" si="98"/>
        <v>cadapn2022</v>
      </c>
      <c r="I117" s="20" t="str">
        <f t="shared" si="98"/>
        <v>CLASSIFICAÇÃO AUTOMÁTICA DE ARTIGOS PUBLICADOS NO ENCONTRO NACIONAL DE PESQUISA EM CIÊNCIA DA INFORMAÇÃO - 2021</v>
      </c>
      <c r="J117" s="20" t="str">
        <f t="shared" si="2"/>
        <v>Machine Learning</v>
      </c>
      <c r="K117" s="20"/>
      <c r="L117" s="20" t="str">
        <f t="shared" si="3"/>
        <v>machine learning</v>
      </c>
      <c r="M117" s="18"/>
      <c r="N117" s="21" t="str">
        <f>IFERROR(__xludf.DUMMYFUNCTION("""COMPUTED_VALUE""")," Machine Learning")</f>
        <v> Machine Learning</v>
      </c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</row>
    <row r="118">
      <c r="A118" s="22"/>
      <c r="B118" s="23"/>
      <c r="C118" s="24"/>
      <c r="D118" s="24"/>
      <c r="E118" s="18"/>
      <c r="F118" s="18"/>
      <c r="G118" s="25">
        <f t="shared" ref="G118:I118" si="99">G117</f>
        <v>2022</v>
      </c>
      <c r="H118" s="20" t="str">
        <f t="shared" si="99"/>
        <v>cadapn2022</v>
      </c>
      <c r="I118" s="20" t="str">
        <f t="shared" si="99"/>
        <v>CLASSIFICAÇÃO AUTOMÁTICA DE ARTIGOS PUBLICADOS NO ENCONTRO NACIONAL DE PESQUISA EM CIÊNCIA DA INFORMAÇÃO - 2021</v>
      </c>
      <c r="J118" s="20" t="str">
        <f t="shared" si="2"/>
        <v>Classificação textual</v>
      </c>
      <c r="K118" s="20"/>
      <c r="L118" s="20" t="str">
        <f t="shared" si="3"/>
        <v>classificação textual</v>
      </c>
      <c r="M118" s="18"/>
      <c r="N118" s="21" t="str">
        <f>IFERROR(__xludf.DUMMYFUNCTION("""COMPUTED_VALUE""")," Classificação textual")</f>
        <v> Classificação textual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</row>
    <row r="119">
      <c r="A119" s="22"/>
      <c r="B119" s="23"/>
      <c r="C119" s="24"/>
      <c r="D119" s="24"/>
      <c r="E119" s="18"/>
      <c r="F119" s="18"/>
      <c r="G119" s="25">
        <f t="shared" ref="G119:I119" si="100">G118</f>
        <v>2022</v>
      </c>
      <c r="H119" s="20" t="str">
        <f t="shared" si="100"/>
        <v>cadapn2022</v>
      </c>
      <c r="I119" s="20" t="str">
        <f t="shared" si="100"/>
        <v>CLASSIFICAÇÃO AUTOMÁTICA DE ARTIGOS PUBLICADOS NO ENCONTRO NACIONAL DE PESQUISA EM CIÊNCIA DA INFORMAÇÃO - 2021</v>
      </c>
      <c r="J119" s="20" t="str">
        <f t="shared" si="2"/>
        <v>Dados não-estruturados</v>
      </c>
      <c r="K119" s="20"/>
      <c r="L119" s="20" t="str">
        <f t="shared" si="3"/>
        <v>dados não-estruturados</v>
      </c>
      <c r="M119" s="18"/>
      <c r="N119" s="21" t="str">
        <f>IFERROR(__xludf.DUMMYFUNCTION("""COMPUTED_VALUE""")," Dados não-estruturados")</f>
        <v> Dados não-estruturados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</row>
    <row r="120">
      <c r="A120" s="22"/>
      <c r="B120" s="23"/>
      <c r="C120" s="24"/>
      <c r="D120" s="24"/>
      <c r="E120" s="18"/>
      <c r="F120" s="18"/>
      <c r="G120" s="25">
        <f t="shared" ref="G120:I120" si="101">G119</f>
        <v>2022</v>
      </c>
      <c r="H120" s="20" t="str">
        <f t="shared" si="101"/>
        <v>cadapn2022</v>
      </c>
      <c r="I120" s="20" t="str">
        <f t="shared" si="101"/>
        <v>CLASSIFICAÇÃO AUTOMÁTICA DE ARTIGOS PUBLICADOS NO ENCONTRO NACIONAL DE PESQUISA EM CIÊNCIA DA INFORMAÇÃO - 2021</v>
      </c>
      <c r="J120" s="20" t="str">
        <f t="shared" si="2"/>
        <v>Algoritmo</v>
      </c>
      <c r="K120" s="20"/>
      <c r="L120" s="20" t="str">
        <f t="shared" si="3"/>
        <v>algoritmo</v>
      </c>
      <c r="M120" s="18"/>
      <c r="N120" s="21" t="str">
        <f>IFERROR(__xludf.DUMMYFUNCTION("""COMPUTED_VALUE""")," Algoritmo")</f>
        <v> Algoritmo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</row>
    <row r="121">
      <c r="A121" s="8"/>
      <c r="B121" s="9"/>
      <c r="C121" s="10"/>
      <c r="D121" s="10"/>
      <c r="E121" s="18"/>
      <c r="F121" s="18"/>
      <c r="G121" s="25">
        <f t="shared" ref="G121:I121" si="102">G120</f>
        <v>2022</v>
      </c>
      <c r="H121" s="20" t="str">
        <f t="shared" si="102"/>
        <v>cadapn2022</v>
      </c>
      <c r="I121" s="20" t="str">
        <f t="shared" si="102"/>
        <v>CLASSIFICAÇÃO AUTOMÁTICA DE ARTIGOS PUBLICADOS NO ENCONTRO NACIONAL DE PESQUISA EM CIÊNCIA DA INFORMAÇÃO - 2021</v>
      </c>
      <c r="J121" s="20" t="str">
        <f t="shared" si="2"/>
        <v/>
      </c>
      <c r="K121" s="20"/>
      <c r="L121" s="20" t="str">
        <f t="shared" si="3"/>
        <v/>
      </c>
      <c r="M121" s="18"/>
      <c r="N121" s="21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</row>
    <row r="122">
      <c r="A122" s="8" t="s">
        <v>54</v>
      </c>
      <c r="B122" s="9">
        <v>2022.0</v>
      </c>
      <c r="C122" s="10" t="s">
        <v>95</v>
      </c>
      <c r="D122" s="10" t="s">
        <v>96</v>
      </c>
      <c r="E122" s="18"/>
      <c r="F122" s="18"/>
      <c r="G122" s="12">
        <f>B122</f>
        <v>2022</v>
      </c>
      <c r="H122" s="13" t="str">
        <f>LOWER(left(O122,1)&amp;left(P122,1)&amp;left(Q122,1)&amp;left(R122,1)&amp;left(S122,1)&amp;left(T122,1))&amp;G122</f>
        <v>cecdvb2022</v>
      </c>
      <c r="I122" s="20" t="str">
        <f>trim(C122)</f>
        <v>CRIAÇÃO E CAPTURA DE VALOR BASEADAS EM BIG DATA PARA A INOVAÇÃO EM PRODUTOS E SERVIÇOS: análise da produção científica</v>
      </c>
      <c r="J122" s="20" t="str">
        <f t="shared" si="2"/>
        <v>Informação</v>
      </c>
      <c r="K122" s="20"/>
      <c r="L122" s="20" t="str">
        <f t="shared" si="3"/>
        <v>informação</v>
      </c>
      <c r="M122" s="18"/>
      <c r="N122" s="21" t="str">
        <f>IFERROR(__xludf.DUMMYFUNCTION("TRANSPOSE(split(D122,"";"",true,true))"),"Informação")</f>
        <v>Informação</v>
      </c>
      <c r="O122" s="6" t="str">
        <f>IFERROR(__xludf.DUMMYFUNCTION("split(C122,"" "")"),"CRIAÇÃO")</f>
        <v>CRIAÇÃO</v>
      </c>
      <c r="P122" s="18" t="str">
        <f>IFERROR(__xludf.DUMMYFUNCTION("""COMPUTED_VALUE"""),"E")</f>
        <v>E</v>
      </c>
      <c r="Q122" s="18" t="str">
        <f>IFERROR(__xludf.DUMMYFUNCTION("""COMPUTED_VALUE"""),"CAPTURA")</f>
        <v>CAPTURA</v>
      </c>
      <c r="R122" s="18" t="str">
        <f>IFERROR(__xludf.DUMMYFUNCTION("""COMPUTED_VALUE"""),"DE")</f>
        <v>DE</v>
      </c>
      <c r="S122" s="18" t="str">
        <f>IFERROR(__xludf.DUMMYFUNCTION("""COMPUTED_VALUE"""),"VALOR")</f>
        <v>VALOR</v>
      </c>
      <c r="T122" s="18" t="str">
        <f>IFERROR(__xludf.DUMMYFUNCTION("""COMPUTED_VALUE"""),"BASEADAS")</f>
        <v>BASEADAS</v>
      </c>
      <c r="U122" s="18" t="str">
        <f>IFERROR(__xludf.DUMMYFUNCTION("""COMPUTED_VALUE"""),"EM")</f>
        <v>EM</v>
      </c>
      <c r="V122" s="18" t="str">
        <f>IFERROR(__xludf.DUMMYFUNCTION("""COMPUTED_VALUE"""),"BIG")</f>
        <v>BIG</v>
      </c>
      <c r="W122" s="18" t="str">
        <f>IFERROR(__xludf.DUMMYFUNCTION("""COMPUTED_VALUE"""),"DATA")</f>
        <v>DATA</v>
      </c>
      <c r="X122" s="18" t="str">
        <f>IFERROR(__xludf.DUMMYFUNCTION("""COMPUTED_VALUE"""),"PARA")</f>
        <v>PARA</v>
      </c>
      <c r="Y122" s="18" t="str">
        <f>IFERROR(__xludf.DUMMYFUNCTION("""COMPUTED_VALUE"""),"A")</f>
        <v>A</v>
      </c>
      <c r="Z122" s="18" t="str">
        <f>IFERROR(__xludf.DUMMYFUNCTION("""COMPUTED_VALUE"""),"INOVAÇÃO")</f>
        <v>INOVAÇÃO</v>
      </c>
      <c r="AA122" s="18" t="str">
        <f>IFERROR(__xludf.DUMMYFUNCTION("""COMPUTED_VALUE"""),"EM")</f>
        <v>EM</v>
      </c>
      <c r="AB122" s="18" t="str">
        <f>IFERROR(__xludf.DUMMYFUNCTION("""COMPUTED_VALUE"""),"PRODUTOS")</f>
        <v>PRODUTOS</v>
      </c>
      <c r="AC122" s="18" t="str">
        <f>IFERROR(__xludf.DUMMYFUNCTION("""COMPUTED_VALUE"""),"E")</f>
        <v>E</v>
      </c>
      <c r="AD122" s="18" t="str">
        <f>IFERROR(__xludf.DUMMYFUNCTION("""COMPUTED_VALUE"""),"SERVIÇOS:")</f>
        <v>SERVIÇOS:</v>
      </c>
      <c r="AE122" s="18" t="str">
        <f>IFERROR(__xludf.DUMMYFUNCTION("""COMPUTED_VALUE"""),"análise")</f>
        <v>análise</v>
      </c>
      <c r="AF122" s="18" t="str">
        <f>IFERROR(__xludf.DUMMYFUNCTION("""COMPUTED_VALUE"""),"da")</f>
        <v>da</v>
      </c>
      <c r="AG122" s="18" t="str">
        <f>IFERROR(__xludf.DUMMYFUNCTION("""COMPUTED_VALUE"""),"produção")</f>
        <v>produção</v>
      </c>
      <c r="AH122" s="18" t="str">
        <f>IFERROR(__xludf.DUMMYFUNCTION("""COMPUTED_VALUE"""),"científica")</f>
        <v>científica</v>
      </c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</row>
    <row r="123">
      <c r="A123" s="22"/>
      <c r="B123" s="23"/>
      <c r="C123" s="24"/>
      <c r="D123" s="24"/>
      <c r="E123" s="18"/>
      <c r="F123" s="18"/>
      <c r="G123" s="25">
        <f t="shared" ref="G123:I123" si="103">G122</f>
        <v>2022</v>
      </c>
      <c r="H123" s="20" t="str">
        <f t="shared" si="103"/>
        <v>cecdvb2022</v>
      </c>
      <c r="I123" s="20" t="str">
        <f t="shared" si="103"/>
        <v>CRIAÇÃO E CAPTURA DE VALOR BASEADAS EM BIG DATA PARA A INOVAÇÃO EM PRODUTOS E SERVIÇOS: análise da produção científica</v>
      </c>
      <c r="J123" s="20" t="str">
        <f t="shared" si="2"/>
        <v>Criação de valor</v>
      </c>
      <c r="K123" s="20"/>
      <c r="L123" s="20" t="str">
        <f t="shared" si="3"/>
        <v>criação de valor</v>
      </c>
      <c r="M123" s="18"/>
      <c r="N123" s="21" t="str">
        <f>IFERROR(__xludf.DUMMYFUNCTION("""COMPUTED_VALUE""")," Criação de valor")</f>
        <v> Criação de valor</v>
      </c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</row>
    <row r="124">
      <c r="A124" s="22"/>
      <c r="B124" s="23"/>
      <c r="C124" s="24"/>
      <c r="D124" s="24"/>
      <c r="E124" s="18"/>
      <c r="F124" s="18"/>
      <c r="G124" s="25">
        <f t="shared" ref="G124:I124" si="104">G123</f>
        <v>2022</v>
      </c>
      <c r="H124" s="20" t="str">
        <f t="shared" si="104"/>
        <v>cecdvb2022</v>
      </c>
      <c r="I124" s="20" t="str">
        <f t="shared" si="104"/>
        <v>CRIAÇÃO E CAPTURA DE VALOR BASEADAS EM BIG DATA PARA A INOVAÇÃO EM PRODUTOS E SERVIÇOS: análise da produção científica</v>
      </c>
      <c r="J124" s="20" t="str">
        <f t="shared" si="2"/>
        <v>Captura de valor</v>
      </c>
      <c r="K124" s="20"/>
      <c r="L124" s="20" t="str">
        <f t="shared" si="3"/>
        <v>captura de valor</v>
      </c>
      <c r="M124" s="18"/>
      <c r="N124" s="21" t="str">
        <f>IFERROR(__xludf.DUMMYFUNCTION("""COMPUTED_VALUE""")," Captura de valor")</f>
        <v> Captura de valor</v>
      </c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</row>
    <row r="125">
      <c r="A125" s="22"/>
      <c r="B125" s="23"/>
      <c r="C125" s="24"/>
      <c r="D125" s="24"/>
      <c r="E125" s="18"/>
      <c r="F125" s="18"/>
      <c r="G125" s="25">
        <f t="shared" ref="G125:I125" si="105">G124</f>
        <v>2022</v>
      </c>
      <c r="H125" s="20" t="str">
        <f t="shared" si="105"/>
        <v>cecdvb2022</v>
      </c>
      <c r="I125" s="20" t="str">
        <f t="shared" si="105"/>
        <v>CRIAÇÃO E CAPTURA DE VALOR BASEADAS EM BIG DATA PARA A INOVAÇÃO EM PRODUTOS E SERVIÇOS: análise da produção científica</v>
      </c>
      <c r="J125" s="20" t="str">
        <f t="shared" si="2"/>
        <v>Big Data</v>
      </c>
      <c r="K125" s="20"/>
      <c r="L125" s="20" t="str">
        <f t="shared" si="3"/>
        <v>big data</v>
      </c>
      <c r="M125" s="18"/>
      <c r="N125" s="21" t="str">
        <f>IFERROR(__xludf.DUMMYFUNCTION("""COMPUTED_VALUE""")," Big Data")</f>
        <v> Big Data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</row>
    <row r="126">
      <c r="A126" s="22"/>
      <c r="B126" s="23"/>
      <c r="C126" s="24"/>
      <c r="D126" s="24"/>
      <c r="E126" s="18"/>
      <c r="F126" s="18"/>
      <c r="G126" s="25">
        <f t="shared" ref="G126:I126" si="106">G125</f>
        <v>2022</v>
      </c>
      <c r="H126" s="20" t="str">
        <f t="shared" si="106"/>
        <v>cecdvb2022</v>
      </c>
      <c r="I126" s="20" t="str">
        <f t="shared" si="106"/>
        <v>CRIAÇÃO E CAPTURA DE VALOR BASEADAS EM BIG DATA PARA A INOVAÇÃO EM PRODUTOS E SERVIÇOS: análise da produção científica</v>
      </c>
      <c r="J126" s="20" t="str">
        <f t="shared" si="2"/>
        <v>Inovação</v>
      </c>
      <c r="K126" s="20"/>
      <c r="L126" s="20" t="str">
        <f t="shared" si="3"/>
        <v>inovação</v>
      </c>
      <c r="M126" s="18"/>
      <c r="N126" s="21" t="str">
        <f>IFERROR(__xludf.DUMMYFUNCTION("""COMPUTED_VALUE""")," Inovação")</f>
        <v> Inovação</v>
      </c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</row>
    <row r="127">
      <c r="A127" s="8"/>
      <c r="B127" s="9"/>
      <c r="C127" s="10"/>
      <c r="D127" s="10"/>
      <c r="E127" s="18"/>
      <c r="F127" s="18"/>
      <c r="G127" s="25">
        <f t="shared" ref="G127:I127" si="107">G126</f>
        <v>2022</v>
      </c>
      <c r="H127" s="20" t="str">
        <f t="shared" si="107"/>
        <v>cecdvb2022</v>
      </c>
      <c r="I127" s="20" t="str">
        <f t="shared" si="107"/>
        <v>CRIAÇÃO E CAPTURA DE VALOR BASEADAS EM BIG DATA PARA A INOVAÇÃO EM PRODUTOS E SERVIÇOS: análise da produção científica</v>
      </c>
      <c r="J127" s="20" t="str">
        <f t="shared" si="2"/>
        <v/>
      </c>
      <c r="K127" s="20"/>
      <c r="L127" s="20" t="str">
        <f t="shared" si="3"/>
        <v/>
      </c>
      <c r="M127" s="18"/>
      <c r="N127" s="21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</row>
    <row r="128">
      <c r="A128" s="8" t="s">
        <v>54</v>
      </c>
      <c r="B128" s="9">
        <v>2022.0</v>
      </c>
      <c r="C128" s="10" t="s">
        <v>97</v>
      </c>
      <c r="D128" s="10" t="s">
        <v>98</v>
      </c>
      <c r="E128" s="18"/>
      <c r="F128" s="18"/>
      <c r="G128" s="12">
        <f>B128</f>
        <v>2022</v>
      </c>
      <c r="H128" s="13" t="str">
        <f>LOWER(left(O128,1)&amp;left(P128,1)&amp;left(Q128,1)&amp;left(R128,1)&amp;left(S128,1)&amp;left(T128,1))&amp;G128</f>
        <v>mpceaa2022</v>
      </c>
      <c r="I128" s="20" t="str">
        <f>trim(C128)</f>
        <v>METADADOS PARA COLEÇÕES E ACERVOS ARTÍSTICOS UNIVERSITÁRIOS</v>
      </c>
      <c r="J128" s="20" t="str">
        <f t="shared" si="2"/>
        <v>Organização da informação</v>
      </c>
      <c r="K128" s="20"/>
      <c r="L128" s="20" t="str">
        <f t="shared" si="3"/>
        <v>organização da informação</v>
      </c>
      <c r="M128" s="18"/>
      <c r="N128" s="21" t="str">
        <f>IFERROR(__xludf.DUMMYFUNCTION("TRANSPOSE(split(D128,"";"",true,true))"),"Organização da informação")</f>
        <v>Organização da informação</v>
      </c>
      <c r="O128" s="6" t="str">
        <f>IFERROR(__xludf.DUMMYFUNCTION("split(C128,"" "")"),"METADADOS")</f>
        <v>METADADOS</v>
      </c>
      <c r="P128" s="18" t="str">
        <f>IFERROR(__xludf.DUMMYFUNCTION("""COMPUTED_VALUE"""),"PARA")</f>
        <v>PARA</v>
      </c>
      <c r="Q128" s="18" t="str">
        <f>IFERROR(__xludf.DUMMYFUNCTION("""COMPUTED_VALUE"""),"COLEÇÕES")</f>
        <v>COLEÇÕES</v>
      </c>
      <c r="R128" s="18" t="str">
        <f>IFERROR(__xludf.DUMMYFUNCTION("""COMPUTED_VALUE"""),"E")</f>
        <v>E</v>
      </c>
      <c r="S128" s="18" t="str">
        <f>IFERROR(__xludf.DUMMYFUNCTION("""COMPUTED_VALUE"""),"ACERVOS")</f>
        <v>ACERVOS</v>
      </c>
      <c r="T128" s="18" t="str">
        <f>IFERROR(__xludf.DUMMYFUNCTION("""COMPUTED_VALUE"""),"ARTÍSTICOS")</f>
        <v>ARTÍSTICOS</v>
      </c>
      <c r="U128" s="18" t="str">
        <f>IFERROR(__xludf.DUMMYFUNCTION("""COMPUTED_VALUE"""),"UNIVERSITÁRIOS")</f>
        <v>UNIVERSITÁRIOS</v>
      </c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</row>
    <row r="129">
      <c r="A129" s="22"/>
      <c r="B129" s="23"/>
      <c r="C129" s="24"/>
      <c r="D129" s="24"/>
      <c r="E129" s="18"/>
      <c r="F129" s="18"/>
      <c r="G129" s="25">
        <f t="shared" ref="G129:I129" si="108">G128</f>
        <v>2022</v>
      </c>
      <c r="H129" s="20" t="str">
        <f t="shared" si="108"/>
        <v>mpceaa2022</v>
      </c>
      <c r="I129" s="20" t="str">
        <f t="shared" si="108"/>
        <v>METADADOS PARA COLEÇÕES E ACERVOS ARTÍSTICOS UNIVERSITÁRIOS</v>
      </c>
      <c r="J129" s="20" t="str">
        <f t="shared" si="2"/>
        <v>Acervo artístico universitário</v>
      </c>
      <c r="K129" s="20"/>
      <c r="L129" s="20" t="str">
        <f t="shared" si="3"/>
        <v>acervo artístico universitário</v>
      </c>
      <c r="M129" s="18"/>
      <c r="N129" s="21" t="str">
        <f>IFERROR(__xludf.DUMMYFUNCTION("""COMPUTED_VALUE""")," Acervo artístico universitário")</f>
        <v> Acervo artístico universitário</v>
      </c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</row>
    <row r="130">
      <c r="A130" s="22"/>
      <c r="B130" s="23"/>
      <c r="C130" s="24"/>
      <c r="D130" s="24"/>
      <c r="E130" s="18"/>
      <c r="F130" s="18"/>
      <c r="G130" s="25">
        <f t="shared" ref="G130:I130" si="109">G129</f>
        <v>2022</v>
      </c>
      <c r="H130" s="20" t="str">
        <f t="shared" si="109"/>
        <v>mpceaa2022</v>
      </c>
      <c r="I130" s="20" t="str">
        <f t="shared" si="109"/>
        <v>METADADOS PARA COLEÇÕES E ACERVOS ARTÍSTICOS UNIVERSITÁRIOS</v>
      </c>
      <c r="J130" s="20" t="str">
        <f t="shared" si="2"/>
        <v>Crosswalk</v>
      </c>
      <c r="K130" s="20"/>
      <c r="L130" s="20" t="str">
        <f t="shared" si="3"/>
        <v>crosswalk</v>
      </c>
      <c r="M130" s="18"/>
      <c r="N130" s="21" t="str">
        <f>IFERROR(__xludf.DUMMYFUNCTION("""COMPUTED_VALUE""")," Crosswalk")</f>
        <v> Crosswalk</v>
      </c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</row>
    <row r="131">
      <c r="A131" s="22"/>
      <c r="B131" s="23"/>
      <c r="C131" s="24"/>
      <c r="D131" s="24"/>
      <c r="E131" s="18"/>
      <c r="F131" s="18"/>
      <c r="G131" s="25">
        <f t="shared" ref="G131:I131" si="110">G130</f>
        <v>2022</v>
      </c>
      <c r="H131" s="20" t="str">
        <f t="shared" si="110"/>
        <v>mpceaa2022</v>
      </c>
      <c r="I131" s="20" t="str">
        <f t="shared" si="110"/>
        <v>METADADOS PARA COLEÇÕES E ACERVOS ARTÍSTICOS UNIVERSITÁRIOS</v>
      </c>
      <c r="J131" s="20" t="str">
        <f t="shared" si="2"/>
        <v>Metadados</v>
      </c>
      <c r="K131" s="20"/>
      <c r="L131" s="20" t="str">
        <f t="shared" si="3"/>
        <v>metadados</v>
      </c>
      <c r="M131" s="18"/>
      <c r="N131" s="21" t="str">
        <f>IFERROR(__xludf.DUMMYFUNCTION("""COMPUTED_VALUE""")," Metadados")</f>
        <v> Metadados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</row>
    <row r="132">
      <c r="A132" s="22"/>
      <c r="B132" s="23"/>
      <c r="C132" s="24"/>
      <c r="D132" s="24"/>
      <c r="E132" s="18"/>
      <c r="F132" s="18"/>
      <c r="G132" s="25">
        <f t="shared" ref="G132:I132" si="111">G131</f>
        <v>2022</v>
      </c>
      <c r="H132" s="20" t="str">
        <f t="shared" si="111"/>
        <v>mpceaa2022</v>
      </c>
      <c r="I132" s="20" t="str">
        <f t="shared" si="111"/>
        <v>METADADOS PARA COLEÇÕES E ACERVOS ARTÍSTICOS UNIVERSITÁRIOS</v>
      </c>
      <c r="J132" s="20" t="str">
        <f t="shared" si="2"/>
        <v/>
      </c>
      <c r="K132" s="20"/>
      <c r="L132" s="20" t="str">
        <f t="shared" si="3"/>
        <v/>
      </c>
      <c r="M132" s="18"/>
      <c r="N132" s="21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</row>
    <row r="133">
      <c r="A133" s="8"/>
      <c r="B133" s="9"/>
      <c r="C133" s="10"/>
      <c r="D133" s="10"/>
      <c r="E133" s="18"/>
      <c r="F133" s="18"/>
      <c r="G133" s="25">
        <f t="shared" ref="G133:I133" si="112">G132</f>
        <v>2022</v>
      </c>
      <c r="H133" s="20" t="str">
        <f t="shared" si="112"/>
        <v>mpceaa2022</v>
      </c>
      <c r="I133" s="20" t="str">
        <f t="shared" si="112"/>
        <v>METADADOS PARA COLEÇÕES E ACERVOS ARTÍSTICOS UNIVERSITÁRIOS</v>
      </c>
      <c r="J133" s="20" t="str">
        <f t="shared" si="2"/>
        <v/>
      </c>
      <c r="K133" s="20"/>
      <c r="L133" s="20" t="str">
        <f t="shared" si="3"/>
        <v/>
      </c>
      <c r="M133" s="18"/>
      <c r="N133" s="21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</row>
    <row r="134">
      <c r="A134" s="8" t="s">
        <v>54</v>
      </c>
      <c r="B134" s="9">
        <v>2022.0</v>
      </c>
      <c r="C134" s="10" t="s">
        <v>99</v>
      </c>
      <c r="D134" s="10" t="s">
        <v>100</v>
      </c>
      <c r="E134" s="18"/>
      <c r="F134" s="18"/>
      <c r="G134" s="12">
        <f>B134</f>
        <v>2022</v>
      </c>
      <c r="H134" s="13" t="str">
        <f>LOWER(left(O134,1)&amp;left(P134,1)&amp;left(Q134,1)&amp;left(R134,1)&amp;left(S134,1)&amp;left(T134,1))&amp;G134</f>
        <v>pcfddp2022</v>
      </c>
      <c r="I134" s="20" t="str">
        <f>trim(C134)</f>
        <v>Patentes como fonte de dados para análise sobre a produção técnica</v>
      </c>
      <c r="J134" s="20" t="str">
        <f t="shared" si="2"/>
        <v>Patente</v>
      </c>
      <c r="K134" s="20"/>
      <c r="L134" s="20" t="str">
        <f t="shared" si="3"/>
        <v>patente</v>
      </c>
      <c r="M134" s="18"/>
      <c r="N134" s="21" t="str">
        <f>IFERROR(__xludf.DUMMYFUNCTION("TRANSPOSE(split(D134,"";"",true,true))"),"Patente")</f>
        <v>Patente</v>
      </c>
      <c r="O134" s="6" t="str">
        <f>IFERROR(__xludf.DUMMYFUNCTION("split(C134,"" "")"),"Patentes")</f>
        <v>Patentes</v>
      </c>
      <c r="P134" s="18" t="str">
        <f>IFERROR(__xludf.DUMMYFUNCTION("""COMPUTED_VALUE"""),"como")</f>
        <v>como</v>
      </c>
      <c r="Q134" s="18" t="str">
        <f>IFERROR(__xludf.DUMMYFUNCTION("""COMPUTED_VALUE"""),"fonte")</f>
        <v>fonte</v>
      </c>
      <c r="R134" s="18" t="str">
        <f>IFERROR(__xludf.DUMMYFUNCTION("""COMPUTED_VALUE"""),"de")</f>
        <v>de</v>
      </c>
      <c r="S134" s="18" t="str">
        <f>IFERROR(__xludf.DUMMYFUNCTION("""COMPUTED_VALUE"""),"dados")</f>
        <v>dados</v>
      </c>
      <c r="T134" s="18" t="str">
        <f>IFERROR(__xludf.DUMMYFUNCTION("""COMPUTED_VALUE"""),"para")</f>
        <v>para</v>
      </c>
      <c r="U134" s="18" t="str">
        <f>IFERROR(__xludf.DUMMYFUNCTION("""COMPUTED_VALUE"""),"análise")</f>
        <v>análise</v>
      </c>
      <c r="V134" s="18" t="str">
        <f>IFERROR(__xludf.DUMMYFUNCTION("""COMPUTED_VALUE"""),"sobre")</f>
        <v>sobre</v>
      </c>
      <c r="W134" s="18" t="str">
        <f>IFERROR(__xludf.DUMMYFUNCTION("""COMPUTED_VALUE"""),"a")</f>
        <v>a</v>
      </c>
      <c r="X134" s="18" t="str">
        <f>IFERROR(__xludf.DUMMYFUNCTION("""COMPUTED_VALUE"""),"produção")</f>
        <v>produção</v>
      </c>
      <c r="Y134" s="18" t="str">
        <f>IFERROR(__xludf.DUMMYFUNCTION("""COMPUTED_VALUE"""),"técnica")</f>
        <v>técnica</v>
      </c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</row>
    <row r="135">
      <c r="A135" s="22"/>
      <c r="B135" s="23"/>
      <c r="C135" s="24"/>
      <c r="D135" s="24"/>
      <c r="E135" s="18"/>
      <c r="F135" s="18"/>
      <c r="G135" s="25">
        <f t="shared" ref="G135:I135" si="113">G134</f>
        <v>2022</v>
      </c>
      <c r="H135" s="20" t="str">
        <f t="shared" si="113"/>
        <v>pcfddp2022</v>
      </c>
      <c r="I135" s="20" t="str">
        <f t="shared" si="113"/>
        <v>Patentes como fonte de dados para análise sobre a produção técnica</v>
      </c>
      <c r="J135" s="20" t="str">
        <f t="shared" si="2"/>
        <v>BRCRIS</v>
      </c>
      <c r="K135" s="20"/>
      <c r="L135" s="20" t="str">
        <f t="shared" si="3"/>
        <v>brcris</v>
      </c>
      <c r="M135" s="18"/>
      <c r="N135" s="21" t="str">
        <f>IFERROR(__xludf.DUMMYFUNCTION("""COMPUTED_VALUE""")," BRCRIS")</f>
        <v> BRCRIS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</row>
    <row r="136">
      <c r="A136" s="22"/>
      <c r="B136" s="23"/>
      <c r="C136" s="24"/>
      <c r="D136" s="24"/>
      <c r="E136" s="18"/>
      <c r="F136" s="18"/>
      <c r="G136" s="25">
        <f t="shared" ref="G136:I136" si="114">G135</f>
        <v>2022</v>
      </c>
      <c r="H136" s="20" t="str">
        <f t="shared" si="114"/>
        <v>pcfddp2022</v>
      </c>
      <c r="I136" s="20" t="str">
        <f t="shared" si="114"/>
        <v>Patentes como fonte de dados para análise sobre a produção técnica</v>
      </c>
      <c r="J136" s="20" t="str">
        <f t="shared" si="2"/>
        <v>Espacenet</v>
      </c>
      <c r="K136" s="20"/>
      <c r="L136" s="20" t="str">
        <f t="shared" si="3"/>
        <v>espacenet</v>
      </c>
      <c r="M136" s="18"/>
      <c r="N136" s="21" t="str">
        <f>IFERROR(__xludf.DUMMYFUNCTION("""COMPUTED_VALUE""")," Espacenet")</f>
        <v> Espacenet</v>
      </c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</row>
    <row r="137">
      <c r="A137" s="22"/>
      <c r="B137" s="23"/>
      <c r="C137" s="24"/>
      <c r="D137" s="24"/>
      <c r="E137" s="18"/>
      <c r="F137" s="18"/>
      <c r="G137" s="25">
        <f t="shared" ref="G137:I137" si="115">G136</f>
        <v>2022</v>
      </c>
      <c r="H137" s="20" t="str">
        <f t="shared" si="115"/>
        <v>pcfddp2022</v>
      </c>
      <c r="I137" s="20" t="str">
        <f t="shared" si="115"/>
        <v>Patentes como fonte de dados para análise sobre a produção técnica</v>
      </c>
      <c r="J137" s="20" t="str">
        <f t="shared" si="2"/>
        <v>Plataforma Lattes</v>
      </c>
      <c r="K137" s="20"/>
      <c r="L137" s="20" t="str">
        <f t="shared" si="3"/>
        <v>plataforma lattes</v>
      </c>
      <c r="M137" s="18"/>
      <c r="N137" s="21" t="str">
        <f>IFERROR(__xludf.DUMMYFUNCTION("""COMPUTED_VALUE""")," Plataforma Lattes")</f>
        <v> Plataforma Lattes</v>
      </c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</row>
    <row r="138">
      <c r="A138" s="22"/>
      <c r="B138" s="23"/>
      <c r="C138" s="24"/>
      <c r="D138" s="24"/>
      <c r="E138" s="18"/>
      <c r="F138" s="18"/>
      <c r="G138" s="25">
        <f t="shared" ref="G138:I138" si="116">G137</f>
        <v>2022</v>
      </c>
      <c r="H138" s="20" t="str">
        <f t="shared" si="116"/>
        <v>pcfddp2022</v>
      </c>
      <c r="I138" s="20" t="str">
        <f t="shared" si="116"/>
        <v>Patentes como fonte de dados para análise sobre a produção técnica</v>
      </c>
      <c r="J138" s="20" t="str">
        <f t="shared" si="2"/>
        <v>Coleta de dados</v>
      </c>
      <c r="K138" s="20"/>
      <c r="L138" s="20" t="str">
        <f t="shared" si="3"/>
        <v>coleta de dados</v>
      </c>
      <c r="M138" s="18"/>
      <c r="N138" s="21" t="str">
        <f>IFERROR(__xludf.DUMMYFUNCTION("""COMPUTED_VALUE""")," Coleta de dados")</f>
        <v> Coleta de dados</v>
      </c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</row>
    <row r="139">
      <c r="A139" s="8"/>
      <c r="B139" s="9"/>
      <c r="C139" s="10"/>
      <c r="D139" s="10"/>
      <c r="E139" s="18"/>
      <c r="F139" s="18"/>
      <c r="G139" s="25">
        <f t="shared" ref="G139:I139" si="117">G138</f>
        <v>2022</v>
      </c>
      <c r="H139" s="20" t="str">
        <f t="shared" si="117"/>
        <v>pcfddp2022</v>
      </c>
      <c r="I139" s="20" t="str">
        <f t="shared" si="117"/>
        <v>Patentes como fonte de dados para análise sobre a produção técnica</v>
      </c>
      <c r="J139" s="20" t="str">
        <f t="shared" si="2"/>
        <v/>
      </c>
      <c r="K139" s="20"/>
      <c r="L139" s="20" t="str">
        <f t="shared" si="3"/>
        <v/>
      </c>
      <c r="M139" s="18"/>
      <c r="N139" s="21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</row>
    <row r="140">
      <c r="A140" s="8" t="s">
        <v>54</v>
      </c>
      <c r="B140" s="9">
        <v>2022.0</v>
      </c>
      <c r="C140" s="10" t="s">
        <v>101</v>
      </c>
      <c r="D140" s="10" t="s">
        <v>102</v>
      </c>
      <c r="E140" s="18"/>
      <c r="F140" s="18"/>
      <c r="G140" s="12">
        <f>B140</f>
        <v>2022</v>
      </c>
      <c r="H140" s="13" t="str">
        <f>LOWER(left(O140,1)&amp;left(P140,1)&amp;left(Q140,1)&amp;left(R140,1)&amp;left(S140,1)&amp;left(T140,1))&amp;G140</f>
        <v>ppaead2022</v>
      </c>
      <c r="I140" s="20" t="str">
        <f>trim(C140)</f>
        <v>Plataforma para Agregação e Análises de Dados Técnicos-Científicos</v>
      </c>
      <c r="J140" s="20" t="str">
        <f t="shared" si="2"/>
        <v>BRCRIS</v>
      </c>
      <c r="K140" s="20"/>
      <c r="L140" s="20" t="str">
        <f t="shared" si="3"/>
        <v>brcris</v>
      </c>
      <c r="M140" s="18"/>
      <c r="N140" s="21" t="str">
        <f>IFERROR(__xludf.DUMMYFUNCTION("TRANSPOSE(split(D140,"";"",true,true))"),"BRCRIS")</f>
        <v>BRCRIS</v>
      </c>
      <c r="O140" s="6" t="str">
        <f>IFERROR(__xludf.DUMMYFUNCTION("split(C140,"" "")"),"Plataforma")</f>
        <v>Plataforma</v>
      </c>
      <c r="P140" s="18" t="str">
        <f>IFERROR(__xludf.DUMMYFUNCTION("""COMPUTED_VALUE"""),"para")</f>
        <v>para</v>
      </c>
      <c r="Q140" s="18" t="str">
        <f>IFERROR(__xludf.DUMMYFUNCTION("""COMPUTED_VALUE"""),"Agregação")</f>
        <v>Agregação</v>
      </c>
      <c r="R140" s="18" t="str">
        <f>IFERROR(__xludf.DUMMYFUNCTION("""COMPUTED_VALUE"""),"e")</f>
        <v>e</v>
      </c>
      <c r="S140" s="18" t="str">
        <f>IFERROR(__xludf.DUMMYFUNCTION("""COMPUTED_VALUE"""),"Análises")</f>
        <v>Análises</v>
      </c>
      <c r="T140" s="18" t="str">
        <f>IFERROR(__xludf.DUMMYFUNCTION("""COMPUTED_VALUE"""),"de")</f>
        <v>de</v>
      </c>
      <c r="U140" s="18" t="str">
        <f>IFERROR(__xludf.DUMMYFUNCTION("""COMPUTED_VALUE"""),"Dados")</f>
        <v>Dados</v>
      </c>
      <c r="V140" s="18" t="str">
        <f>IFERROR(__xludf.DUMMYFUNCTION("""COMPUTED_VALUE"""),"Técnicos-Científicos")</f>
        <v>Técnicos-Científicos</v>
      </c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</row>
    <row r="141">
      <c r="A141" s="22"/>
      <c r="B141" s="23"/>
      <c r="C141" s="24"/>
      <c r="D141" s="24"/>
      <c r="E141" s="18"/>
      <c r="F141" s="18"/>
      <c r="G141" s="25">
        <f t="shared" ref="G141:I141" si="118">G140</f>
        <v>2022</v>
      </c>
      <c r="H141" s="20" t="str">
        <f t="shared" si="118"/>
        <v>ppaead2022</v>
      </c>
      <c r="I141" s="20" t="str">
        <f t="shared" si="118"/>
        <v>Plataforma para Agregação e Análises de Dados Técnicos-Científicos</v>
      </c>
      <c r="J141" s="20" t="str">
        <f t="shared" si="2"/>
        <v>Plataforma Lattes</v>
      </c>
      <c r="K141" s="20"/>
      <c r="L141" s="20" t="str">
        <f t="shared" si="3"/>
        <v>plataforma lattes</v>
      </c>
      <c r="M141" s="18"/>
      <c r="N141" s="21" t="str">
        <f>IFERROR(__xludf.DUMMYFUNCTION("""COMPUTED_VALUE""")," Plataforma Lattes")</f>
        <v> Plataforma Lattes</v>
      </c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</row>
    <row r="142">
      <c r="A142" s="22"/>
      <c r="B142" s="23"/>
      <c r="C142" s="24"/>
      <c r="D142" s="24"/>
      <c r="E142" s="18"/>
      <c r="F142" s="18"/>
      <c r="G142" s="25">
        <f t="shared" ref="G142:I142" si="119">G141</f>
        <v>2022</v>
      </c>
      <c r="H142" s="20" t="str">
        <f t="shared" si="119"/>
        <v>ppaead2022</v>
      </c>
      <c r="I142" s="20" t="str">
        <f t="shared" si="119"/>
        <v>Plataforma para Agregação e Análises de Dados Técnicos-Científicos</v>
      </c>
      <c r="J142" s="20" t="str">
        <f t="shared" si="2"/>
        <v>Tratamento de dados</v>
      </c>
      <c r="K142" s="20"/>
      <c r="L142" s="20" t="str">
        <f t="shared" si="3"/>
        <v>tratamento de dados</v>
      </c>
      <c r="M142" s="18"/>
      <c r="N142" s="21" t="str">
        <f>IFERROR(__xludf.DUMMYFUNCTION("""COMPUTED_VALUE""")," Tratamento de dados")</f>
        <v> Tratamento de dados</v>
      </c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</row>
    <row r="143">
      <c r="A143" s="22"/>
      <c r="B143" s="23"/>
      <c r="C143" s="24"/>
      <c r="D143" s="24"/>
      <c r="E143" s="18"/>
      <c r="F143" s="18"/>
      <c r="G143" s="25">
        <f t="shared" ref="G143:I143" si="120">G142</f>
        <v>2022</v>
      </c>
      <c r="H143" s="20" t="str">
        <f t="shared" si="120"/>
        <v>ppaead2022</v>
      </c>
      <c r="I143" s="20" t="str">
        <f t="shared" si="120"/>
        <v>Plataforma para Agregação e Análises de Dados Técnicos-Científicos</v>
      </c>
      <c r="J143" s="20" t="str">
        <f t="shared" si="2"/>
        <v/>
      </c>
      <c r="K143" s="20"/>
      <c r="L143" s="20" t="str">
        <f t="shared" si="3"/>
        <v/>
      </c>
      <c r="M143" s="18"/>
      <c r="N143" s="21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</row>
    <row r="144">
      <c r="A144" s="22"/>
      <c r="B144" s="23"/>
      <c r="C144" s="24"/>
      <c r="D144" s="24"/>
      <c r="E144" s="18"/>
      <c r="F144" s="18"/>
      <c r="G144" s="25">
        <f t="shared" ref="G144:I144" si="121">G143</f>
        <v>2022</v>
      </c>
      <c r="H144" s="20" t="str">
        <f t="shared" si="121"/>
        <v>ppaead2022</v>
      </c>
      <c r="I144" s="20" t="str">
        <f t="shared" si="121"/>
        <v>Plataforma para Agregação e Análises de Dados Técnicos-Científicos</v>
      </c>
      <c r="J144" s="20" t="str">
        <f t="shared" si="2"/>
        <v/>
      </c>
      <c r="K144" s="20"/>
      <c r="L144" s="20" t="str">
        <f t="shared" si="3"/>
        <v/>
      </c>
      <c r="M144" s="18"/>
      <c r="N144" s="21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</row>
    <row r="145">
      <c r="A145" s="8"/>
      <c r="B145" s="9"/>
      <c r="C145" s="10"/>
      <c r="D145" s="10"/>
      <c r="E145" s="18"/>
      <c r="F145" s="18"/>
      <c r="G145" s="25">
        <f t="shared" ref="G145:I145" si="122">G144</f>
        <v>2022</v>
      </c>
      <c r="H145" s="20" t="str">
        <f t="shared" si="122"/>
        <v>ppaead2022</v>
      </c>
      <c r="I145" s="20" t="str">
        <f t="shared" si="122"/>
        <v>Plataforma para Agregação e Análises de Dados Técnicos-Científicos</v>
      </c>
      <c r="J145" s="20" t="str">
        <f t="shared" si="2"/>
        <v/>
      </c>
      <c r="K145" s="20"/>
      <c r="L145" s="20" t="str">
        <f t="shared" si="3"/>
        <v/>
      </c>
      <c r="M145" s="18"/>
      <c r="N145" s="21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</row>
    <row r="146">
      <c r="A146" s="8" t="s">
        <v>54</v>
      </c>
      <c r="B146" s="9">
        <v>2022.0</v>
      </c>
      <c r="C146" s="10" t="s">
        <v>103</v>
      </c>
      <c r="D146" s="10" t="s">
        <v>104</v>
      </c>
      <c r="E146" s="18"/>
      <c r="F146" s="18"/>
      <c r="G146" s="12">
        <f>B146</f>
        <v>2022</v>
      </c>
      <c r="H146" s="13" t="str">
        <f>LOWER(left(O146,1)&amp;left(P146,1)&amp;left(Q146,1)&amp;left(R146,1)&amp;left(S146,1)&amp;left(T146,1))&amp;G146</f>
        <v>pcecdi2022</v>
      </c>
      <c r="I146" s="20" t="str">
        <f>trim(C146)</f>
        <v>Produção Científica em Ciência da Informação: utilizando os dados abertos CAPES</v>
      </c>
      <c r="J146" s="20" t="str">
        <f t="shared" si="2"/>
        <v>Dados abertos</v>
      </c>
      <c r="K146" s="20"/>
      <c r="L146" s="20" t="str">
        <f t="shared" si="3"/>
        <v>dados abertos</v>
      </c>
      <c r="M146" s="18"/>
      <c r="N146" s="21" t="str">
        <f>IFERROR(__xludf.DUMMYFUNCTION("TRANSPOSE(split(D146,"";"",true,true))"),"Dados abertos")</f>
        <v>Dados abertos</v>
      </c>
      <c r="O146" s="6" t="str">
        <f>IFERROR(__xludf.DUMMYFUNCTION("split(C146,"" "")"),"Produção")</f>
        <v>Produção</v>
      </c>
      <c r="P146" s="18" t="str">
        <f>IFERROR(__xludf.DUMMYFUNCTION("""COMPUTED_VALUE"""),"Científica")</f>
        <v>Científica</v>
      </c>
      <c r="Q146" s="18" t="str">
        <f>IFERROR(__xludf.DUMMYFUNCTION("""COMPUTED_VALUE"""),"em")</f>
        <v>em</v>
      </c>
      <c r="R146" s="18" t="str">
        <f>IFERROR(__xludf.DUMMYFUNCTION("""COMPUTED_VALUE"""),"Ciência")</f>
        <v>Ciência</v>
      </c>
      <c r="S146" s="18" t="str">
        <f>IFERROR(__xludf.DUMMYFUNCTION("""COMPUTED_VALUE"""),"da")</f>
        <v>da</v>
      </c>
      <c r="T146" s="18" t="str">
        <f>IFERROR(__xludf.DUMMYFUNCTION("""COMPUTED_VALUE"""),"Informação:")</f>
        <v>Informação:</v>
      </c>
      <c r="U146" s="18" t="str">
        <f>IFERROR(__xludf.DUMMYFUNCTION("""COMPUTED_VALUE"""),"utilizando")</f>
        <v>utilizando</v>
      </c>
      <c r="V146" s="18" t="str">
        <f>IFERROR(__xludf.DUMMYFUNCTION("""COMPUTED_VALUE"""),"os")</f>
        <v>os</v>
      </c>
      <c r="W146" s="18" t="str">
        <f>IFERROR(__xludf.DUMMYFUNCTION("""COMPUTED_VALUE"""),"dados")</f>
        <v>dados</v>
      </c>
      <c r="X146" s="18" t="str">
        <f>IFERROR(__xludf.DUMMYFUNCTION("""COMPUTED_VALUE"""),"abertos")</f>
        <v>abertos</v>
      </c>
      <c r="Y146" s="18" t="str">
        <f>IFERROR(__xludf.DUMMYFUNCTION("""COMPUTED_VALUE"""),"CAPES")</f>
        <v>CAPES</v>
      </c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</row>
    <row r="147">
      <c r="A147" s="22"/>
      <c r="B147" s="23"/>
      <c r="C147" s="24"/>
      <c r="D147" s="24"/>
      <c r="E147" s="18"/>
      <c r="F147" s="18"/>
      <c r="G147" s="25">
        <f t="shared" ref="G147:I147" si="123">G146</f>
        <v>2022</v>
      </c>
      <c r="H147" s="20" t="str">
        <f t="shared" si="123"/>
        <v>pcecdi2022</v>
      </c>
      <c r="I147" s="20" t="str">
        <f t="shared" si="123"/>
        <v>Produção Científica em Ciência da Informação: utilizando os dados abertos CAPES</v>
      </c>
      <c r="J147" s="20" t="str">
        <f t="shared" si="2"/>
        <v>Ciência de dados</v>
      </c>
      <c r="K147" s="20"/>
      <c r="L147" s="20" t="str">
        <f t="shared" si="3"/>
        <v>ciência de dados</v>
      </c>
      <c r="M147" s="18"/>
      <c r="N147" s="21" t="str">
        <f>IFERROR(__xludf.DUMMYFUNCTION("""COMPUTED_VALUE""")," Ciência de dados")</f>
        <v> Ciência de dados</v>
      </c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</row>
    <row r="148">
      <c r="A148" s="22"/>
      <c r="B148" s="23"/>
      <c r="C148" s="24"/>
      <c r="D148" s="24"/>
      <c r="E148" s="18"/>
      <c r="F148" s="18"/>
      <c r="G148" s="25">
        <f t="shared" ref="G148:I148" si="124">G147</f>
        <v>2022</v>
      </c>
      <c r="H148" s="20" t="str">
        <f t="shared" si="124"/>
        <v>pcecdi2022</v>
      </c>
      <c r="I148" s="20" t="str">
        <f t="shared" si="124"/>
        <v>Produção Científica em Ciência da Informação: utilizando os dados abertos CAPES</v>
      </c>
      <c r="J148" s="20" t="str">
        <f t="shared" si="2"/>
        <v>CAPES</v>
      </c>
      <c r="K148" s="20"/>
      <c r="L148" s="20" t="str">
        <f t="shared" si="3"/>
        <v>capes</v>
      </c>
      <c r="M148" s="18"/>
      <c r="N148" s="21" t="str">
        <f>IFERROR(__xludf.DUMMYFUNCTION("""COMPUTED_VALUE""")," CAPES")</f>
        <v> CAPES</v>
      </c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</row>
    <row r="149">
      <c r="A149" s="22"/>
      <c r="B149" s="23"/>
      <c r="C149" s="24"/>
      <c r="D149" s="24"/>
      <c r="E149" s="18"/>
      <c r="F149" s="18"/>
      <c r="G149" s="25">
        <f t="shared" ref="G149:I149" si="125">G148</f>
        <v>2022</v>
      </c>
      <c r="H149" s="20" t="str">
        <f t="shared" si="125"/>
        <v>pcecdi2022</v>
      </c>
      <c r="I149" s="20" t="str">
        <f t="shared" si="125"/>
        <v>Produção Científica em Ciência da Informação: utilizando os dados abertos CAPES</v>
      </c>
      <c r="J149" s="20" t="str">
        <f t="shared" si="2"/>
        <v>Programas de pós-graduação em Ciência da Informação</v>
      </c>
      <c r="K149" s="20"/>
      <c r="L149" s="20" t="str">
        <f t="shared" si="3"/>
        <v>programas de pós-graduação em ciência da informação</v>
      </c>
      <c r="M149" s="18"/>
      <c r="N149" s="21" t="str">
        <f>IFERROR(__xludf.DUMMYFUNCTION("""COMPUTED_VALUE""")," Programas de pós-graduação em Ciência da Informação")</f>
        <v> Programas de pós-graduação em Ciência da Informação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</row>
    <row r="150">
      <c r="A150" s="22"/>
      <c r="B150" s="23"/>
      <c r="C150" s="24"/>
      <c r="D150" s="24"/>
      <c r="E150" s="18"/>
      <c r="F150" s="18"/>
      <c r="G150" s="25">
        <f t="shared" ref="G150:I150" si="126">G149</f>
        <v>2022</v>
      </c>
      <c r="H150" s="20" t="str">
        <f t="shared" si="126"/>
        <v>pcecdi2022</v>
      </c>
      <c r="I150" s="20" t="str">
        <f t="shared" si="126"/>
        <v>Produção Científica em Ciência da Informação: utilizando os dados abertos CAPES</v>
      </c>
      <c r="J150" s="20" t="str">
        <f t="shared" si="2"/>
        <v>Dissertações e teses</v>
      </c>
      <c r="K150" s="20"/>
      <c r="L150" s="20" t="str">
        <f t="shared" si="3"/>
        <v>dissertações e teses</v>
      </c>
      <c r="M150" s="18"/>
      <c r="N150" s="21" t="str">
        <f>IFERROR(__xludf.DUMMYFUNCTION("""COMPUTED_VALUE""")," Dissertações e teses")</f>
        <v> Dissertações e teses</v>
      </c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</row>
    <row r="151">
      <c r="A151" s="8"/>
      <c r="B151" s="9"/>
      <c r="C151" s="10"/>
      <c r="D151" s="10"/>
      <c r="E151" s="18"/>
      <c r="F151" s="18"/>
      <c r="G151" s="25">
        <f t="shared" ref="G151:I151" si="127">G150</f>
        <v>2022</v>
      </c>
      <c r="H151" s="20" t="str">
        <f t="shared" si="127"/>
        <v>pcecdi2022</v>
      </c>
      <c r="I151" s="20" t="str">
        <f t="shared" si="127"/>
        <v>Produção Científica em Ciência da Informação: utilizando os dados abertos CAPES</v>
      </c>
      <c r="J151" s="20" t="str">
        <f t="shared" si="2"/>
        <v/>
      </c>
      <c r="K151" s="20"/>
      <c r="L151" s="20" t="str">
        <f t="shared" si="3"/>
        <v/>
      </c>
      <c r="M151" s="18"/>
      <c r="N151" s="21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</row>
    <row r="152">
      <c r="A152" s="8" t="s">
        <v>54</v>
      </c>
      <c r="B152" s="9">
        <v>2022.0</v>
      </c>
      <c r="C152" s="10" t="s">
        <v>105</v>
      </c>
      <c r="D152" s="10" t="s">
        <v>106</v>
      </c>
      <c r="E152" s="18"/>
      <c r="F152" s="18"/>
      <c r="G152" s="12">
        <f>B152</f>
        <v>2022</v>
      </c>
      <c r="H152" s="13" t="str">
        <f>LOWER(left(O152,1)&amp;left(P152,1)&amp;left(Q152,1)&amp;left(R152,1)&amp;left(S152,1)&amp;left(T152,1))&amp;G152</f>
        <v>tdieac2022</v>
      </c>
      <c r="I152" s="20" t="str">
        <f>trim(C152)</f>
        <v>TRATAMENTO DA INFORMAÇÃO EM ACERVOS CULTURAIS: avaliação do uso de vocabulários controlados em coleções museológicas sob gestão do Instituto Brasileiro de Museus</v>
      </c>
      <c r="J152" s="20" t="str">
        <f t="shared" si="2"/>
        <v>Museus</v>
      </c>
      <c r="K152" s="20"/>
      <c r="L152" s="20" t="str">
        <f t="shared" si="3"/>
        <v>museus</v>
      </c>
      <c r="M152" s="18"/>
      <c r="N152" s="21" t="str">
        <f>IFERROR(__xludf.DUMMYFUNCTION("TRANSPOSE(split(D152,"";"",true,true))"),"Museus")</f>
        <v>Museus</v>
      </c>
      <c r="O152" s="6" t="str">
        <f>IFERROR(__xludf.DUMMYFUNCTION("split(C152,"" "")"),"TRATAMENTO")</f>
        <v>TRATAMENTO</v>
      </c>
      <c r="P152" s="18" t="str">
        <f>IFERROR(__xludf.DUMMYFUNCTION("""COMPUTED_VALUE"""),"DA")</f>
        <v>DA</v>
      </c>
      <c r="Q152" s="18" t="str">
        <f>IFERROR(__xludf.DUMMYFUNCTION("""COMPUTED_VALUE"""),"INFORMAÇÃO")</f>
        <v>INFORMAÇÃO</v>
      </c>
      <c r="R152" s="18" t="str">
        <f>IFERROR(__xludf.DUMMYFUNCTION("""COMPUTED_VALUE"""),"EM")</f>
        <v>EM</v>
      </c>
      <c r="S152" s="18" t="str">
        <f>IFERROR(__xludf.DUMMYFUNCTION("""COMPUTED_VALUE"""),"ACERVOS")</f>
        <v>ACERVOS</v>
      </c>
      <c r="T152" s="18" t="str">
        <f>IFERROR(__xludf.DUMMYFUNCTION("""COMPUTED_VALUE"""),"CULTURAIS:")</f>
        <v>CULTURAIS:</v>
      </c>
      <c r="U152" s="18" t="str">
        <f>IFERROR(__xludf.DUMMYFUNCTION("""COMPUTED_VALUE"""),"avaliação")</f>
        <v>avaliação</v>
      </c>
      <c r="V152" s="18" t="str">
        <f>IFERROR(__xludf.DUMMYFUNCTION("""COMPUTED_VALUE"""),"do")</f>
        <v>do</v>
      </c>
      <c r="W152" s="18" t="str">
        <f>IFERROR(__xludf.DUMMYFUNCTION("""COMPUTED_VALUE"""),"uso")</f>
        <v>uso</v>
      </c>
      <c r="X152" s="18" t="str">
        <f>IFERROR(__xludf.DUMMYFUNCTION("""COMPUTED_VALUE"""),"de")</f>
        <v>de</v>
      </c>
      <c r="Y152" s="18" t="str">
        <f>IFERROR(__xludf.DUMMYFUNCTION("""COMPUTED_VALUE"""),"vocabulários")</f>
        <v>vocabulários</v>
      </c>
      <c r="Z152" s="18" t="str">
        <f>IFERROR(__xludf.DUMMYFUNCTION("""COMPUTED_VALUE"""),"controlados")</f>
        <v>controlados</v>
      </c>
      <c r="AA152" s="18" t="str">
        <f>IFERROR(__xludf.DUMMYFUNCTION("""COMPUTED_VALUE"""),"em")</f>
        <v>em</v>
      </c>
      <c r="AB152" s="18" t="str">
        <f>IFERROR(__xludf.DUMMYFUNCTION("""COMPUTED_VALUE"""),"coleções")</f>
        <v>coleções</v>
      </c>
      <c r="AC152" s="18" t="str">
        <f>IFERROR(__xludf.DUMMYFUNCTION("""COMPUTED_VALUE"""),"museológicas")</f>
        <v>museológicas</v>
      </c>
      <c r="AD152" s="18" t="str">
        <f>IFERROR(__xludf.DUMMYFUNCTION("""COMPUTED_VALUE"""),"sob")</f>
        <v>sob</v>
      </c>
      <c r="AE152" s="18" t="str">
        <f>IFERROR(__xludf.DUMMYFUNCTION("""COMPUTED_VALUE"""),"gestão")</f>
        <v>gestão</v>
      </c>
      <c r="AF152" s="18" t="str">
        <f>IFERROR(__xludf.DUMMYFUNCTION("""COMPUTED_VALUE"""),"do")</f>
        <v>do</v>
      </c>
      <c r="AG152" s="18" t="str">
        <f>IFERROR(__xludf.DUMMYFUNCTION("""COMPUTED_VALUE"""),"Instituto")</f>
        <v>Instituto</v>
      </c>
      <c r="AH152" s="18" t="str">
        <f>IFERROR(__xludf.DUMMYFUNCTION("""COMPUTED_VALUE"""),"Brasileiro")</f>
        <v>Brasileiro</v>
      </c>
      <c r="AI152" s="18" t="str">
        <f>IFERROR(__xludf.DUMMYFUNCTION("""COMPUTED_VALUE"""),"de")</f>
        <v>de</v>
      </c>
      <c r="AJ152" s="18" t="str">
        <f>IFERROR(__xludf.DUMMYFUNCTION("""COMPUTED_VALUE"""),"Museus")</f>
        <v>Museus</v>
      </c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</row>
    <row r="153">
      <c r="A153" s="22"/>
      <c r="B153" s="23"/>
      <c r="C153" s="24"/>
      <c r="D153" s="24"/>
      <c r="E153" s="18"/>
      <c r="F153" s="18"/>
      <c r="G153" s="25">
        <f t="shared" ref="G153:I153" si="128">G152</f>
        <v>2022</v>
      </c>
      <c r="H153" s="20" t="str">
        <f t="shared" si="128"/>
        <v>tdieac2022</v>
      </c>
      <c r="I153" s="20" t="str">
        <f t="shared" si="128"/>
        <v>TRATAMENTO DA INFORMAÇÃO EM ACERVOS CULTURAIS: avaliação do uso de vocabulários controlados em coleções museológicas sob gestão do Instituto Brasileiro de Museus</v>
      </c>
      <c r="J153" s="20" t="str">
        <f t="shared" si="2"/>
        <v>Organização da Informação</v>
      </c>
      <c r="K153" s="20"/>
      <c r="L153" s="20" t="str">
        <f t="shared" si="3"/>
        <v>organização da informação</v>
      </c>
      <c r="M153" s="18"/>
      <c r="N153" s="21" t="str">
        <f>IFERROR(__xludf.DUMMYFUNCTION("""COMPUTED_VALUE""")," Organização da Informação")</f>
        <v> Organização da Informação</v>
      </c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</row>
    <row r="154">
      <c r="A154" s="22"/>
      <c r="B154" s="23"/>
      <c r="C154" s="24"/>
      <c r="D154" s="24"/>
      <c r="E154" s="18"/>
      <c r="F154" s="18"/>
      <c r="G154" s="25">
        <f t="shared" ref="G154:I154" si="129">G153</f>
        <v>2022</v>
      </c>
      <c r="H154" s="20" t="str">
        <f t="shared" si="129"/>
        <v>tdieac2022</v>
      </c>
      <c r="I154" s="20" t="str">
        <f t="shared" si="129"/>
        <v>TRATAMENTO DA INFORMAÇÃO EM ACERVOS CULTURAIS: avaliação do uso de vocabulários controlados em coleções museológicas sob gestão do Instituto Brasileiro de Museus</v>
      </c>
      <c r="J154" s="20" t="str">
        <f t="shared" si="2"/>
        <v>Representação da Informação</v>
      </c>
      <c r="K154" s="20"/>
      <c r="L154" s="20" t="str">
        <f t="shared" si="3"/>
        <v>representação da informação</v>
      </c>
      <c r="M154" s="18"/>
      <c r="N154" s="21" t="str">
        <f>IFERROR(__xludf.DUMMYFUNCTION("""COMPUTED_VALUE""")," Representação da Informação")</f>
        <v> Representação da Informação</v>
      </c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</row>
    <row r="155">
      <c r="A155" s="22"/>
      <c r="B155" s="23"/>
      <c r="C155" s="24"/>
      <c r="D155" s="24"/>
      <c r="E155" s="18"/>
      <c r="F155" s="18"/>
      <c r="G155" s="25">
        <f t="shared" ref="G155:I155" si="130">G154</f>
        <v>2022</v>
      </c>
      <c r="H155" s="20" t="str">
        <f t="shared" si="130"/>
        <v>tdieac2022</v>
      </c>
      <c r="I155" s="20" t="str">
        <f t="shared" si="130"/>
        <v>TRATAMENTO DA INFORMAÇÃO EM ACERVOS CULTURAIS: avaliação do uso de vocabulários controlados em coleções museológicas sob gestão do Instituto Brasileiro de Museus</v>
      </c>
      <c r="J155" s="20" t="str">
        <f t="shared" si="2"/>
        <v>Qualidade de dados</v>
      </c>
      <c r="K155" s="20"/>
      <c r="L155" s="20" t="str">
        <f t="shared" si="3"/>
        <v>qualidade de dados</v>
      </c>
      <c r="M155" s="18"/>
      <c r="N155" s="21" t="str">
        <f>IFERROR(__xludf.DUMMYFUNCTION("""COMPUTED_VALUE""")," Qualidade de dados")</f>
        <v> Qualidade de dados</v>
      </c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</row>
    <row r="156">
      <c r="A156" s="22"/>
      <c r="B156" s="23"/>
      <c r="C156" s="24"/>
      <c r="D156" s="24"/>
      <c r="E156" s="18"/>
      <c r="F156" s="18"/>
      <c r="G156" s="25">
        <f t="shared" ref="G156:I156" si="131">G155</f>
        <v>2022</v>
      </c>
      <c r="H156" s="20" t="str">
        <f t="shared" si="131"/>
        <v>tdieac2022</v>
      </c>
      <c r="I156" s="20" t="str">
        <f t="shared" si="131"/>
        <v>TRATAMENTO DA INFORMAÇÃO EM ACERVOS CULTURAIS: avaliação do uso de vocabulários controlados em coleções museológicas sob gestão do Instituto Brasileiro de Museus</v>
      </c>
      <c r="J156" s="20" t="str">
        <f t="shared" si="2"/>
        <v>Vocabulário controlado</v>
      </c>
      <c r="K156" s="20"/>
      <c r="L156" s="20" t="str">
        <f t="shared" si="3"/>
        <v>vocabulário controlado</v>
      </c>
      <c r="M156" s="18"/>
      <c r="N156" s="21" t="str">
        <f>IFERROR(__xludf.DUMMYFUNCTION("""COMPUTED_VALUE""")," Vocabulário controlado")</f>
        <v> Vocabulário controlado</v>
      </c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</row>
    <row r="157">
      <c r="A157" s="8"/>
      <c r="B157" s="9"/>
      <c r="C157" s="10"/>
      <c r="D157" s="10"/>
      <c r="E157" s="18"/>
      <c r="F157" s="18"/>
      <c r="G157" s="25">
        <f t="shared" ref="G157:I157" si="132">G156</f>
        <v>2022</v>
      </c>
      <c r="H157" s="20" t="str">
        <f t="shared" si="132"/>
        <v>tdieac2022</v>
      </c>
      <c r="I157" s="20" t="str">
        <f t="shared" si="132"/>
        <v>TRATAMENTO DA INFORMAÇÃO EM ACERVOS CULTURAIS: avaliação do uso de vocabulários controlados em coleções museológicas sob gestão do Instituto Brasileiro de Museus</v>
      </c>
      <c r="J157" s="20" t="str">
        <f t="shared" si="2"/>
        <v/>
      </c>
      <c r="K157" s="20"/>
      <c r="L157" s="20" t="str">
        <f t="shared" si="3"/>
        <v/>
      </c>
      <c r="M157" s="18"/>
      <c r="N157" s="21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</row>
    <row r="158">
      <c r="A158" s="8" t="s">
        <v>54</v>
      </c>
      <c r="B158" s="9">
        <v>2022.0</v>
      </c>
      <c r="C158" s="10" t="s">
        <v>107</v>
      </c>
      <c r="D158" s="10" t="s">
        <v>108</v>
      </c>
      <c r="E158" s="18"/>
      <c r="F158" s="18"/>
      <c r="G158" s="12">
        <f>B158</f>
        <v>2022</v>
      </c>
      <c r="H158" s="13" t="str">
        <f>LOWER(left(O158,1)&amp;left(P158,1)&amp;left(Q158,1)&amp;left(R158,1)&amp;left(S158,1)&amp;left(T158,1))&amp;G158</f>
        <v>vddanc2022</v>
      </c>
      <c r="I158" s="20" t="str">
        <f>trim(C158)</f>
        <v>VISUALIZAÇÃO DE DADOS ABERTOS NO CONTEXTO DA PÓS-GRADUAÇÃO EM CIÊNCIA DA INFORMAÇÃO: análise bibliométrica dos estudos defendidos</v>
      </c>
      <c r="J158" s="20" t="str">
        <f t="shared" si="2"/>
        <v>visualização de dados abertos</v>
      </c>
      <c r="K158" s="20"/>
      <c r="L158" s="20" t="str">
        <f t="shared" si="3"/>
        <v>visualização de dados abertos</v>
      </c>
      <c r="M158" s="18"/>
      <c r="N158" s="21" t="str">
        <f>IFERROR(__xludf.DUMMYFUNCTION("TRANSPOSE(split(D158,"";"",true,true))"),"visualização de dados abertos")</f>
        <v>visualização de dados abertos</v>
      </c>
      <c r="O158" s="6" t="str">
        <f>IFERROR(__xludf.DUMMYFUNCTION("split(C158,"" "")"),"VISUALIZAÇÃO")</f>
        <v>VISUALIZAÇÃO</v>
      </c>
      <c r="P158" s="18" t="str">
        <f>IFERROR(__xludf.DUMMYFUNCTION("""COMPUTED_VALUE"""),"DE")</f>
        <v>DE</v>
      </c>
      <c r="Q158" s="18" t="str">
        <f>IFERROR(__xludf.DUMMYFUNCTION("""COMPUTED_VALUE"""),"DADOS")</f>
        <v>DADOS</v>
      </c>
      <c r="R158" s="18" t="str">
        <f>IFERROR(__xludf.DUMMYFUNCTION("""COMPUTED_VALUE"""),"ABERTOS")</f>
        <v>ABERTOS</v>
      </c>
      <c r="S158" s="18" t="str">
        <f>IFERROR(__xludf.DUMMYFUNCTION("""COMPUTED_VALUE"""),"NO")</f>
        <v>NO</v>
      </c>
      <c r="T158" s="18" t="str">
        <f>IFERROR(__xludf.DUMMYFUNCTION("""COMPUTED_VALUE"""),"CONTEXTO")</f>
        <v>CONTEXTO</v>
      </c>
      <c r="U158" s="18" t="str">
        <f>IFERROR(__xludf.DUMMYFUNCTION("""COMPUTED_VALUE"""),"DA")</f>
        <v>DA</v>
      </c>
      <c r="V158" s="18" t="str">
        <f>IFERROR(__xludf.DUMMYFUNCTION("""COMPUTED_VALUE"""),"PÓS-GRADUAÇÃO")</f>
        <v>PÓS-GRADUAÇÃO</v>
      </c>
      <c r="W158" s="18" t="str">
        <f>IFERROR(__xludf.DUMMYFUNCTION("""COMPUTED_VALUE"""),"EM")</f>
        <v>EM</v>
      </c>
      <c r="X158" s="18" t="str">
        <f>IFERROR(__xludf.DUMMYFUNCTION("""COMPUTED_VALUE"""),"CIÊNCIA")</f>
        <v>CIÊNCIA</v>
      </c>
      <c r="Y158" s="18" t="str">
        <f>IFERROR(__xludf.DUMMYFUNCTION("""COMPUTED_VALUE"""),"DA")</f>
        <v>DA</v>
      </c>
      <c r="Z158" s="18" t="str">
        <f>IFERROR(__xludf.DUMMYFUNCTION("""COMPUTED_VALUE"""),"INFORMAÇÃO:")</f>
        <v>INFORMAÇÃO:</v>
      </c>
      <c r="AA158" s="18" t="str">
        <f>IFERROR(__xludf.DUMMYFUNCTION("""COMPUTED_VALUE"""),"análise")</f>
        <v>análise</v>
      </c>
      <c r="AB158" s="18" t="str">
        <f>IFERROR(__xludf.DUMMYFUNCTION("""COMPUTED_VALUE"""),"bibliométrica")</f>
        <v>bibliométrica</v>
      </c>
      <c r="AC158" s="18" t="str">
        <f>IFERROR(__xludf.DUMMYFUNCTION("""COMPUTED_VALUE"""),"dos")</f>
        <v>dos</v>
      </c>
      <c r="AD158" s="18" t="str">
        <f>IFERROR(__xludf.DUMMYFUNCTION("""COMPUTED_VALUE"""),"estudos")</f>
        <v>estudos</v>
      </c>
      <c r="AE158" s="18" t="str">
        <f>IFERROR(__xludf.DUMMYFUNCTION("""COMPUTED_VALUE"""),"defendidos")</f>
        <v>defendidos</v>
      </c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</row>
    <row r="159">
      <c r="A159" s="22"/>
      <c r="B159" s="23"/>
      <c r="C159" s="24"/>
      <c r="D159" s="24"/>
      <c r="E159" s="18"/>
      <c r="F159" s="18"/>
      <c r="G159" s="25">
        <f t="shared" ref="G159:I159" si="133">G158</f>
        <v>2022</v>
      </c>
      <c r="H159" s="20" t="str">
        <f t="shared" si="133"/>
        <v>vddanc2022</v>
      </c>
      <c r="I159" s="20" t="str">
        <f t="shared" si="133"/>
        <v>VISUALIZAÇÃO DE DADOS ABERTOS NO CONTEXTO DA PÓS-GRADUAÇÃO EM CIÊNCIA DA INFORMAÇÃO: análise bibliométrica dos estudos defendidos</v>
      </c>
      <c r="J159" s="20" t="str">
        <f t="shared" si="2"/>
        <v>programas de Pós-Graduação</v>
      </c>
      <c r="K159" s="20"/>
      <c r="L159" s="20" t="str">
        <f t="shared" si="3"/>
        <v>programas de pós-graduação</v>
      </c>
      <c r="M159" s="18"/>
      <c r="N159" s="21" t="str">
        <f>IFERROR(__xludf.DUMMYFUNCTION("""COMPUTED_VALUE""")," programas de Pós-Graduação")</f>
        <v> programas de Pós-Graduação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</row>
    <row r="160">
      <c r="A160" s="22"/>
      <c r="B160" s="23"/>
      <c r="C160" s="24"/>
      <c r="D160" s="24"/>
      <c r="E160" s="18"/>
      <c r="F160" s="18"/>
      <c r="G160" s="25">
        <f t="shared" ref="G160:I160" si="134">G159</f>
        <v>2022</v>
      </c>
      <c r="H160" s="20" t="str">
        <f t="shared" si="134"/>
        <v>vddanc2022</v>
      </c>
      <c r="I160" s="20" t="str">
        <f t="shared" si="134"/>
        <v>VISUALIZAÇÃO DE DADOS ABERTOS NO CONTEXTO DA PÓS-GRADUAÇÃO EM CIÊNCIA DA INFORMAÇÃO: análise bibliométrica dos estudos defendidos</v>
      </c>
      <c r="J160" s="20" t="str">
        <f t="shared" si="2"/>
        <v>Ciência da Informação</v>
      </c>
      <c r="K160" s="20"/>
      <c r="L160" s="20" t="str">
        <f t="shared" si="3"/>
        <v>ciência da informação</v>
      </c>
      <c r="M160" s="18"/>
      <c r="N160" s="21" t="str">
        <f>IFERROR(__xludf.DUMMYFUNCTION("""COMPUTED_VALUE""")," Ciência da Informação")</f>
        <v> Ciência da Informação</v>
      </c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</row>
    <row r="161">
      <c r="A161" s="22"/>
      <c r="B161" s="23"/>
      <c r="C161" s="24"/>
      <c r="D161" s="24"/>
      <c r="E161" s="18"/>
      <c r="F161" s="18"/>
      <c r="G161" s="25">
        <f t="shared" ref="G161:I161" si="135">G160</f>
        <v>2022</v>
      </c>
      <c r="H161" s="20" t="str">
        <f t="shared" si="135"/>
        <v>vddanc2022</v>
      </c>
      <c r="I161" s="20" t="str">
        <f t="shared" si="135"/>
        <v>VISUALIZAÇÃO DE DADOS ABERTOS NO CONTEXTO DA PÓS-GRADUAÇÃO EM CIÊNCIA DA INFORMAÇÃO: análise bibliométrica dos estudos defendidos</v>
      </c>
      <c r="J161" s="20" t="str">
        <f t="shared" si="2"/>
        <v>plano de dados abertos da Capes</v>
      </c>
      <c r="K161" s="20"/>
      <c r="L161" s="20" t="str">
        <f t="shared" si="3"/>
        <v>plano de dados abertos da capes</v>
      </c>
      <c r="M161" s="18"/>
      <c r="N161" s="21" t="str">
        <f>IFERROR(__xludf.DUMMYFUNCTION("""COMPUTED_VALUE""")," plano de dados abertos da Capes")</f>
        <v> plano de dados abertos da Capes</v>
      </c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</row>
    <row r="162">
      <c r="A162" s="22"/>
      <c r="B162" s="23"/>
      <c r="C162" s="24"/>
      <c r="D162" s="24"/>
      <c r="E162" s="18"/>
      <c r="F162" s="18"/>
      <c r="G162" s="25">
        <f t="shared" ref="G162:I162" si="136">G161</f>
        <v>2022</v>
      </c>
      <c r="H162" s="20" t="str">
        <f t="shared" si="136"/>
        <v>vddanc2022</v>
      </c>
      <c r="I162" s="20" t="str">
        <f t="shared" si="136"/>
        <v>VISUALIZAÇÃO DE DADOS ABERTOS NO CONTEXTO DA PÓS-GRADUAÇÃO EM CIÊNCIA DA INFORMAÇÃO: análise bibliométrica dos estudos defendidos</v>
      </c>
      <c r="J162" s="20" t="str">
        <f t="shared" si="2"/>
        <v/>
      </c>
      <c r="K162" s="20"/>
      <c r="L162" s="20" t="str">
        <f t="shared" si="3"/>
        <v/>
      </c>
      <c r="M162" s="18"/>
      <c r="N162" s="21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</row>
    <row r="163">
      <c r="A163" s="8"/>
      <c r="B163" s="9"/>
      <c r="C163" s="10"/>
      <c r="D163" s="10"/>
      <c r="E163" s="18"/>
      <c r="F163" s="18"/>
      <c r="G163" s="25">
        <f t="shared" ref="G163:I163" si="137">G162</f>
        <v>2022</v>
      </c>
      <c r="H163" s="20" t="str">
        <f t="shared" si="137"/>
        <v>vddanc2022</v>
      </c>
      <c r="I163" s="20" t="str">
        <f t="shared" si="137"/>
        <v>VISUALIZAÇÃO DE DADOS ABERTOS NO CONTEXTO DA PÓS-GRADUAÇÃO EM CIÊNCIA DA INFORMAÇÃO: análise bibliométrica dos estudos defendidos</v>
      </c>
      <c r="J163" s="20" t="str">
        <f t="shared" si="2"/>
        <v/>
      </c>
      <c r="K163" s="20"/>
      <c r="L163" s="20" t="str">
        <f t="shared" si="3"/>
        <v/>
      </c>
      <c r="M163" s="18"/>
      <c r="N163" s="21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</row>
    <row r="164">
      <c r="A164" s="8" t="s">
        <v>54</v>
      </c>
      <c r="B164" s="9">
        <v>2022.0</v>
      </c>
      <c r="C164" s="10" t="s">
        <v>109</v>
      </c>
      <c r="D164" s="10" t="s">
        <v>110</v>
      </c>
      <c r="E164" s="18"/>
      <c r="F164" s="18"/>
      <c r="G164" s="12">
        <f>B164</f>
        <v>2022</v>
      </c>
      <c r="H164" s="13" t="str">
        <f>LOWER(left(O164,1)&amp;left(P164,1)&amp;left(Q164,1)&amp;left(R164,1)&amp;left(S164,1)&amp;left(T164,1))&amp;G164</f>
        <v>ardodc2022</v>
      </c>
      <c r="I164" s="20" t="str">
        <f>trim(C164)</f>
        <v>A RELAÇÃO DA ORGANIZAÇÃO DO CONHECIMENTO COM AS HUMANIDADES DIGITAIS A PARTIR DAS DEZ PREMISSAS DE BARITE</v>
      </c>
      <c r="J164" s="20" t="str">
        <f t="shared" si="2"/>
        <v>Organização do Conhecimento</v>
      </c>
      <c r="K164" s="20"/>
      <c r="L164" s="20" t="str">
        <f t="shared" si="3"/>
        <v>organização do conhecimento</v>
      </c>
      <c r="M164" s="18"/>
      <c r="N164" s="21" t="str">
        <f>IFERROR(__xludf.DUMMYFUNCTION("TRANSPOSE(split(D164,"";"",true,true))"),"Organização do Conhecimento")</f>
        <v>Organização do Conhecimento</v>
      </c>
      <c r="O164" s="6" t="str">
        <f>IFERROR(__xludf.DUMMYFUNCTION("split(C164,"" "")"),"A")</f>
        <v>A</v>
      </c>
      <c r="P164" s="18" t="str">
        <f>IFERROR(__xludf.DUMMYFUNCTION("""COMPUTED_VALUE"""),"RELAÇÃO")</f>
        <v>RELAÇÃO</v>
      </c>
      <c r="Q164" s="18" t="str">
        <f>IFERROR(__xludf.DUMMYFUNCTION("""COMPUTED_VALUE"""),"DA")</f>
        <v>DA</v>
      </c>
      <c r="R164" s="18" t="str">
        <f>IFERROR(__xludf.DUMMYFUNCTION("""COMPUTED_VALUE"""),"ORGANIZAÇÃO")</f>
        <v>ORGANIZAÇÃO</v>
      </c>
      <c r="S164" s="18" t="str">
        <f>IFERROR(__xludf.DUMMYFUNCTION("""COMPUTED_VALUE"""),"DO")</f>
        <v>DO</v>
      </c>
      <c r="T164" s="18" t="str">
        <f>IFERROR(__xludf.DUMMYFUNCTION("""COMPUTED_VALUE"""),"CONHECIMENTO")</f>
        <v>CONHECIMENTO</v>
      </c>
      <c r="U164" s="18" t="str">
        <f>IFERROR(__xludf.DUMMYFUNCTION("""COMPUTED_VALUE"""),"COM")</f>
        <v>COM</v>
      </c>
      <c r="V164" s="18" t="str">
        <f>IFERROR(__xludf.DUMMYFUNCTION("""COMPUTED_VALUE"""),"AS")</f>
        <v>AS</v>
      </c>
      <c r="W164" s="18" t="str">
        <f>IFERROR(__xludf.DUMMYFUNCTION("""COMPUTED_VALUE"""),"HUMANIDADES")</f>
        <v>HUMANIDADES</v>
      </c>
      <c r="X164" s="18" t="str">
        <f>IFERROR(__xludf.DUMMYFUNCTION("""COMPUTED_VALUE"""),"DIGITAIS")</f>
        <v>DIGITAIS</v>
      </c>
      <c r="Y164" s="18" t="str">
        <f>IFERROR(__xludf.DUMMYFUNCTION("""COMPUTED_VALUE"""),"A")</f>
        <v>A</v>
      </c>
      <c r="Z164" s="18" t="str">
        <f>IFERROR(__xludf.DUMMYFUNCTION("""COMPUTED_VALUE"""),"PARTIR")</f>
        <v>PARTIR</v>
      </c>
      <c r="AA164" s="18" t="str">
        <f>IFERROR(__xludf.DUMMYFUNCTION("""COMPUTED_VALUE"""),"DAS")</f>
        <v>DAS</v>
      </c>
      <c r="AB164" s="18" t="str">
        <f>IFERROR(__xludf.DUMMYFUNCTION("""COMPUTED_VALUE"""),"DEZ")</f>
        <v>DEZ</v>
      </c>
      <c r="AC164" s="18" t="str">
        <f>IFERROR(__xludf.DUMMYFUNCTION("""COMPUTED_VALUE"""),"PREMISSAS")</f>
        <v>PREMISSAS</v>
      </c>
      <c r="AD164" s="18" t="str">
        <f>IFERROR(__xludf.DUMMYFUNCTION("""COMPUTED_VALUE"""),"DE")</f>
        <v>DE</v>
      </c>
      <c r="AE164" s="18" t="str">
        <f>IFERROR(__xludf.DUMMYFUNCTION("""COMPUTED_VALUE"""),"BARITE")</f>
        <v>BARITE</v>
      </c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</row>
    <row r="165">
      <c r="A165" s="22"/>
      <c r="B165" s="23"/>
      <c r="C165" s="24"/>
      <c r="D165" s="24"/>
      <c r="E165" s="18"/>
      <c r="F165" s="18"/>
      <c r="G165" s="25">
        <f t="shared" ref="G165:I165" si="138">G164</f>
        <v>2022</v>
      </c>
      <c r="H165" s="20" t="str">
        <f t="shared" si="138"/>
        <v>ardodc2022</v>
      </c>
      <c r="I165" s="20" t="str">
        <f t="shared" si="138"/>
        <v>A RELAÇÃO DA ORGANIZAÇÃO DO CONHECIMENTO COM AS HUMANIDADES DIGITAIS A PARTIR DAS DEZ PREMISSAS DE BARITE</v>
      </c>
      <c r="J165" s="20" t="str">
        <f t="shared" si="2"/>
        <v>Humanidades Digitais</v>
      </c>
      <c r="K165" s="20"/>
      <c r="L165" s="20" t="str">
        <f t="shared" si="3"/>
        <v>humanidades digitais</v>
      </c>
      <c r="M165" s="18"/>
      <c r="N165" s="21" t="str">
        <f>IFERROR(__xludf.DUMMYFUNCTION("""COMPUTED_VALUE""")," Humanidades Digitais")</f>
        <v> Humanidades Digitais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</row>
    <row r="166">
      <c r="A166" s="22"/>
      <c r="B166" s="23"/>
      <c r="C166" s="24"/>
      <c r="D166" s="24"/>
      <c r="E166" s="18"/>
      <c r="F166" s="18"/>
      <c r="G166" s="25">
        <f t="shared" ref="G166:I166" si="139">G165</f>
        <v>2022</v>
      </c>
      <c r="H166" s="20" t="str">
        <f t="shared" si="139"/>
        <v>ardodc2022</v>
      </c>
      <c r="I166" s="20" t="str">
        <f t="shared" si="139"/>
        <v>A RELAÇÃO DA ORGANIZAÇÃO DO CONHECIMENTO COM AS HUMANIDADES DIGITAIS A PARTIR DAS DEZ PREMISSAS DE BARITE</v>
      </c>
      <c r="J166" s="20" t="str">
        <f t="shared" si="2"/>
        <v>Representação do Conhecimento</v>
      </c>
      <c r="K166" s="20"/>
      <c r="L166" s="20" t="str">
        <f t="shared" si="3"/>
        <v>representação do conhecimento</v>
      </c>
      <c r="M166" s="18"/>
      <c r="N166" s="21" t="str">
        <f>IFERROR(__xludf.DUMMYFUNCTION("""COMPUTED_VALUE""")," Representação do Conhecimento")</f>
        <v> Representação do Conhecimento</v>
      </c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</row>
    <row r="167">
      <c r="A167" s="22"/>
      <c r="B167" s="23"/>
      <c r="C167" s="24"/>
      <c r="D167" s="24"/>
      <c r="E167" s="18"/>
      <c r="F167" s="18"/>
      <c r="G167" s="25">
        <f t="shared" ref="G167:I167" si="140">G166</f>
        <v>2022</v>
      </c>
      <c r="H167" s="20" t="str">
        <f t="shared" si="140"/>
        <v>ardodc2022</v>
      </c>
      <c r="I167" s="20" t="str">
        <f t="shared" si="140"/>
        <v>A RELAÇÃO DA ORGANIZAÇÃO DO CONHECIMENTO COM AS HUMANIDADES DIGITAIS A PARTIR DAS DEZ PREMISSAS DE BARITE</v>
      </c>
      <c r="J167" s="20" t="str">
        <f t="shared" si="2"/>
        <v/>
      </c>
      <c r="K167" s="20"/>
      <c r="L167" s="20" t="str">
        <f t="shared" si="3"/>
        <v/>
      </c>
      <c r="M167" s="18"/>
      <c r="N167" s="21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</row>
    <row r="168">
      <c r="A168" s="22"/>
      <c r="B168" s="23"/>
      <c r="C168" s="24"/>
      <c r="D168" s="24"/>
      <c r="E168" s="18"/>
      <c r="F168" s="18"/>
      <c r="G168" s="25">
        <f t="shared" ref="G168:I168" si="141">G167</f>
        <v>2022</v>
      </c>
      <c r="H168" s="20" t="str">
        <f t="shared" si="141"/>
        <v>ardodc2022</v>
      </c>
      <c r="I168" s="20" t="str">
        <f t="shared" si="141"/>
        <v>A RELAÇÃO DA ORGANIZAÇÃO DO CONHECIMENTO COM AS HUMANIDADES DIGITAIS A PARTIR DAS DEZ PREMISSAS DE BARITE</v>
      </c>
      <c r="J168" s="20" t="str">
        <f t="shared" si="2"/>
        <v/>
      </c>
      <c r="K168" s="20"/>
      <c r="L168" s="20" t="str">
        <f t="shared" si="3"/>
        <v/>
      </c>
      <c r="M168" s="18"/>
      <c r="N168" s="21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</row>
    <row r="169">
      <c r="A169" s="8"/>
      <c r="B169" s="9"/>
      <c r="C169" s="10"/>
      <c r="D169" s="10"/>
      <c r="E169" s="18"/>
      <c r="F169" s="18"/>
      <c r="G169" s="25">
        <f t="shared" ref="G169:I169" si="142">G168</f>
        <v>2022</v>
      </c>
      <c r="H169" s="20" t="str">
        <f t="shared" si="142"/>
        <v>ardodc2022</v>
      </c>
      <c r="I169" s="20" t="str">
        <f t="shared" si="142"/>
        <v>A RELAÇÃO DA ORGANIZAÇÃO DO CONHECIMENTO COM AS HUMANIDADES DIGITAIS A PARTIR DAS DEZ PREMISSAS DE BARITE</v>
      </c>
      <c r="J169" s="20" t="str">
        <f t="shared" si="2"/>
        <v/>
      </c>
      <c r="K169" s="20"/>
      <c r="L169" s="20" t="str">
        <f t="shared" si="3"/>
        <v/>
      </c>
      <c r="M169" s="18"/>
      <c r="N169" s="21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</row>
    <row r="170">
      <c r="A170" s="8" t="s">
        <v>54</v>
      </c>
      <c r="B170" s="9">
        <v>2022.0</v>
      </c>
      <c r="C170" s="10" t="s">
        <v>111</v>
      </c>
      <c r="D170" s="10" t="s">
        <v>112</v>
      </c>
      <c r="E170" s="18"/>
      <c r="F170" s="18"/>
      <c r="G170" s="12">
        <f>B170</f>
        <v>2022</v>
      </c>
      <c r="H170" s="13" t="str">
        <f>LOWER(left(O170,1)&amp;left(P170,1)&amp;left(Q170,1)&amp;left(R170,1)&amp;left(S170,1)&amp;left(T170,1))&amp;G170</f>
        <v>cinddc2022</v>
      </c>
      <c r="I170" s="20" t="str">
        <f>trim(C170)</f>
        <v>CONTRATOS INTELIGENTES NO DESENVOLVIMENTO DE COLEÇÕES: uma abordagem orientada à blockchain</v>
      </c>
      <c r="J170" s="20" t="str">
        <f t="shared" si="2"/>
        <v>biblioteca</v>
      </c>
      <c r="K170" s="20"/>
      <c r="L170" s="20" t="str">
        <f t="shared" si="3"/>
        <v>biblioteca</v>
      </c>
      <c r="M170" s="18"/>
      <c r="N170" s="21" t="str">
        <f>IFERROR(__xludf.DUMMYFUNCTION("TRANSPOSE(split(D170,"";"",true,true))"),"biblioteca")</f>
        <v>biblioteca</v>
      </c>
      <c r="O170" s="6" t="str">
        <f>IFERROR(__xludf.DUMMYFUNCTION("split(C170,"" "")"),"CONTRATOS")</f>
        <v>CONTRATOS</v>
      </c>
      <c r="P170" s="18" t="str">
        <f>IFERROR(__xludf.DUMMYFUNCTION("""COMPUTED_VALUE"""),"INTELIGENTES")</f>
        <v>INTELIGENTES</v>
      </c>
      <c r="Q170" s="18" t="str">
        <f>IFERROR(__xludf.DUMMYFUNCTION("""COMPUTED_VALUE"""),"NO")</f>
        <v>NO</v>
      </c>
      <c r="R170" s="18" t="str">
        <f>IFERROR(__xludf.DUMMYFUNCTION("""COMPUTED_VALUE"""),"DESENVOLVIMENTO")</f>
        <v>DESENVOLVIMENTO</v>
      </c>
      <c r="S170" s="18" t="str">
        <f>IFERROR(__xludf.DUMMYFUNCTION("""COMPUTED_VALUE"""),"DE")</f>
        <v>DE</v>
      </c>
      <c r="T170" s="18" t="str">
        <f>IFERROR(__xludf.DUMMYFUNCTION("""COMPUTED_VALUE"""),"COLEÇÕES:")</f>
        <v>COLEÇÕES:</v>
      </c>
      <c r="U170" s="18" t="str">
        <f>IFERROR(__xludf.DUMMYFUNCTION("""COMPUTED_VALUE"""),"uma")</f>
        <v>uma</v>
      </c>
      <c r="V170" s="18" t="str">
        <f>IFERROR(__xludf.DUMMYFUNCTION("""COMPUTED_VALUE"""),"abordagem")</f>
        <v>abordagem</v>
      </c>
      <c r="W170" s="18" t="str">
        <f>IFERROR(__xludf.DUMMYFUNCTION("""COMPUTED_VALUE"""),"orientada")</f>
        <v>orientada</v>
      </c>
      <c r="X170" s="18" t="str">
        <f>IFERROR(__xludf.DUMMYFUNCTION("""COMPUTED_VALUE"""),"à")</f>
        <v>à</v>
      </c>
      <c r="Y170" s="18" t="str">
        <f>IFERROR(__xludf.DUMMYFUNCTION("""COMPUTED_VALUE"""),"blockchain")</f>
        <v>blockchain</v>
      </c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</row>
    <row r="171">
      <c r="A171" s="22"/>
      <c r="B171" s="23"/>
      <c r="C171" s="24"/>
      <c r="D171" s="24"/>
      <c r="E171" s="18"/>
      <c r="F171" s="18"/>
      <c r="G171" s="25">
        <f t="shared" ref="G171:I171" si="143">G170</f>
        <v>2022</v>
      </c>
      <c r="H171" s="20" t="str">
        <f t="shared" si="143"/>
        <v>cinddc2022</v>
      </c>
      <c r="I171" s="20" t="str">
        <f t="shared" si="143"/>
        <v>CONTRATOS INTELIGENTES NO DESENVOLVIMENTO DE COLEÇÕES: uma abordagem orientada à blockchain</v>
      </c>
      <c r="J171" s="20" t="str">
        <f t="shared" si="2"/>
        <v>desenvolvimento de coleções</v>
      </c>
      <c r="K171" s="20"/>
      <c r="L171" s="20" t="str">
        <f t="shared" si="3"/>
        <v>desenvolvimento de coleções</v>
      </c>
      <c r="M171" s="18"/>
      <c r="N171" s="21" t="str">
        <f>IFERROR(__xludf.DUMMYFUNCTION("""COMPUTED_VALUE""")," desenvolvimento de coleções")</f>
        <v> desenvolvimento de coleções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</row>
    <row r="172">
      <c r="A172" s="22"/>
      <c r="B172" s="23"/>
      <c r="C172" s="24"/>
      <c r="D172" s="24"/>
      <c r="E172" s="18"/>
      <c r="F172" s="18"/>
      <c r="G172" s="25">
        <f t="shared" ref="G172:I172" si="144">G171</f>
        <v>2022</v>
      </c>
      <c r="H172" s="20" t="str">
        <f t="shared" si="144"/>
        <v>cinddc2022</v>
      </c>
      <c r="I172" s="20" t="str">
        <f t="shared" si="144"/>
        <v>CONTRATOS INTELIGENTES NO DESENVOLVIMENTO DE COLEÇÕES: uma abordagem orientada à blockchain</v>
      </c>
      <c r="J172" s="20" t="str">
        <f t="shared" si="2"/>
        <v>política de desenvolvimento de coleções</v>
      </c>
      <c r="K172" s="20"/>
      <c r="L172" s="20" t="str">
        <f t="shared" si="3"/>
        <v>política de desenvolvimento de coleções</v>
      </c>
      <c r="M172" s="18"/>
      <c r="N172" s="21" t="str">
        <f>IFERROR(__xludf.DUMMYFUNCTION("""COMPUTED_VALUE""")," política de desenvolvimento de coleções")</f>
        <v> política de desenvolvimento de coleções</v>
      </c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</row>
    <row r="173">
      <c r="A173" s="22"/>
      <c r="B173" s="23"/>
      <c r="C173" s="24"/>
      <c r="D173" s="24"/>
      <c r="E173" s="18"/>
      <c r="F173" s="18"/>
      <c r="G173" s="25">
        <f t="shared" ref="G173:I173" si="145">G172</f>
        <v>2022</v>
      </c>
      <c r="H173" s="20" t="str">
        <f t="shared" si="145"/>
        <v>cinddc2022</v>
      </c>
      <c r="I173" s="20" t="str">
        <f t="shared" si="145"/>
        <v>CONTRATOS INTELIGENTES NO DESENVOLVIMENTO DE COLEÇÕES: uma abordagem orientada à blockchain</v>
      </c>
      <c r="J173" s="20" t="str">
        <f t="shared" si="2"/>
        <v>blockchain</v>
      </c>
      <c r="K173" s="20"/>
      <c r="L173" s="20" t="str">
        <f t="shared" si="3"/>
        <v>blockchain</v>
      </c>
      <c r="M173" s="18"/>
      <c r="N173" s="21" t="str">
        <f>IFERROR(__xludf.DUMMYFUNCTION("""COMPUTED_VALUE""")," blockchain")</f>
        <v> blockchain</v>
      </c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</row>
    <row r="174">
      <c r="A174" s="22"/>
      <c r="B174" s="23"/>
      <c r="C174" s="24"/>
      <c r="D174" s="24"/>
      <c r="E174" s="18"/>
      <c r="F174" s="18"/>
      <c r="G174" s="25">
        <f t="shared" ref="G174:I174" si="146">G173</f>
        <v>2022</v>
      </c>
      <c r="H174" s="20" t="str">
        <f t="shared" si="146"/>
        <v>cinddc2022</v>
      </c>
      <c r="I174" s="20" t="str">
        <f t="shared" si="146"/>
        <v>CONTRATOS INTELIGENTES NO DESENVOLVIMENTO DE COLEÇÕES: uma abordagem orientada à blockchain</v>
      </c>
      <c r="J174" s="20" t="str">
        <f t="shared" si="2"/>
        <v>contratos inteligentes</v>
      </c>
      <c r="K174" s="20"/>
      <c r="L174" s="20" t="str">
        <f t="shared" si="3"/>
        <v>contratos inteligentes</v>
      </c>
      <c r="M174" s="18"/>
      <c r="N174" s="21" t="str">
        <f>IFERROR(__xludf.DUMMYFUNCTION("""COMPUTED_VALUE""")," contratos inteligentes")</f>
        <v> contratos inteligentes</v>
      </c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</row>
    <row r="175">
      <c r="A175" s="8"/>
      <c r="B175" s="9"/>
      <c r="C175" s="10"/>
      <c r="D175" s="10"/>
      <c r="E175" s="18"/>
      <c r="F175" s="18"/>
      <c r="G175" s="25">
        <f t="shared" ref="G175:I175" si="147">G174</f>
        <v>2022</v>
      </c>
      <c r="H175" s="20" t="str">
        <f t="shared" si="147"/>
        <v>cinddc2022</v>
      </c>
      <c r="I175" s="20" t="str">
        <f t="shared" si="147"/>
        <v>CONTRATOS INTELIGENTES NO DESENVOLVIMENTO DE COLEÇÕES: uma abordagem orientada à blockchain</v>
      </c>
      <c r="J175" s="20" t="str">
        <f t="shared" si="2"/>
        <v/>
      </c>
      <c r="K175" s="20"/>
      <c r="L175" s="20" t="str">
        <f t="shared" si="3"/>
        <v/>
      </c>
      <c r="M175" s="18"/>
      <c r="N175" s="21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</row>
    <row r="176">
      <c r="A176" s="8" t="s">
        <v>54</v>
      </c>
      <c r="B176" s="9">
        <v>2022.0</v>
      </c>
      <c r="C176" s="10" t="s">
        <v>113</v>
      </c>
      <c r="D176" s="10" t="s">
        <v>114</v>
      </c>
      <c r="E176" s="18"/>
      <c r="F176" s="18"/>
      <c r="G176" s="12">
        <f>B176</f>
        <v>2022</v>
      </c>
      <c r="H176" s="13" t="str">
        <f>LOWER(left(O176,1)&amp;left(P176,1)&amp;left(Q176,1)&amp;left(R176,1)&amp;left(S176,1)&amp;left(T176,1))&amp;G176</f>
        <v>daràmi2022</v>
      </c>
      <c r="I176" s="20" t="str">
        <f>trim(C176)</f>
        <v>DIREITOS AUTORAIS RELACIONADOS À MEMÓRIA INSTITUCIONAL E ARTÍSTICA DO TRIBUNAL DE JUSTIÇA DO DISTRITO FEDERAL E TERRITÓRIOS</v>
      </c>
      <c r="J176" s="20" t="str">
        <f t="shared" si="2"/>
        <v>Direito autoral</v>
      </c>
      <c r="K176" s="20"/>
      <c r="L176" s="20" t="str">
        <f t="shared" si="3"/>
        <v>direito autoral</v>
      </c>
      <c r="M176" s="18"/>
      <c r="N176" s="21" t="str">
        <f>IFERROR(__xludf.DUMMYFUNCTION("TRANSPOSE(split(D176,"";"",true,true))"),"Direito autoral")</f>
        <v>Direito autoral</v>
      </c>
      <c r="O176" s="6" t="str">
        <f>IFERROR(__xludf.DUMMYFUNCTION("split(C176,"" "")"),"DIREITOS")</f>
        <v>DIREITOS</v>
      </c>
      <c r="P176" s="18" t="str">
        <f>IFERROR(__xludf.DUMMYFUNCTION("""COMPUTED_VALUE"""),"AUTORAIS")</f>
        <v>AUTORAIS</v>
      </c>
      <c r="Q176" s="18" t="str">
        <f>IFERROR(__xludf.DUMMYFUNCTION("""COMPUTED_VALUE"""),"RELACIONADOS")</f>
        <v>RELACIONADOS</v>
      </c>
      <c r="R176" s="18" t="str">
        <f>IFERROR(__xludf.DUMMYFUNCTION("""COMPUTED_VALUE"""),"À")</f>
        <v>À</v>
      </c>
      <c r="S176" s="18" t="str">
        <f>IFERROR(__xludf.DUMMYFUNCTION("""COMPUTED_VALUE"""),"MEMÓRIA")</f>
        <v>MEMÓRIA</v>
      </c>
      <c r="T176" s="18" t="str">
        <f>IFERROR(__xludf.DUMMYFUNCTION("""COMPUTED_VALUE"""),"INSTITUCIONAL")</f>
        <v>INSTITUCIONAL</v>
      </c>
      <c r="U176" s="18" t="str">
        <f>IFERROR(__xludf.DUMMYFUNCTION("""COMPUTED_VALUE"""),"E")</f>
        <v>E</v>
      </c>
      <c r="V176" s="18" t="str">
        <f>IFERROR(__xludf.DUMMYFUNCTION("""COMPUTED_VALUE"""),"ARTÍSTICA")</f>
        <v>ARTÍSTICA</v>
      </c>
      <c r="W176" s="18" t="str">
        <f>IFERROR(__xludf.DUMMYFUNCTION("""COMPUTED_VALUE"""),"DO")</f>
        <v>DO</v>
      </c>
      <c r="X176" s="18" t="str">
        <f>IFERROR(__xludf.DUMMYFUNCTION("""COMPUTED_VALUE"""),"TRIBUNAL")</f>
        <v>TRIBUNAL</v>
      </c>
      <c r="Y176" s="18" t="str">
        <f>IFERROR(__xludf.DUMMYFUNCTION("""COMPUTED_VALUE"""),"DE")</f>
        <v>DE</v>
      </c>
      <c r="Z176" s="18" t="str">
        <f>IFERROR(__xludf.DUMMYFUNCTION("""COMPUTED_VALUE"""),"JUSTIÇA")</f>
        <v>JUSTIÇA</v>
      </c>
      <c r="AA176" s="18" t="str">
        <f>IFERROR(__xludf.DUMMYFUNCTION("""COMPUTED_VALUE"""),"DO")</f>
        <v>DO</v>
      </c>
      <c r="AB176" s="18" t="str">
        <f>IFERROR(__xludf.DUMMYFUNCTION("""COMPUTED_VALUE"""),"DISTRITO")</f>
        <v>DISTRITO</v>
      </c>
      <c r="AC176" s="18" t="str">
        <f>IFERROR(__xludf.DUMMYFUNCTION("""COMPUTED_VALUE"""),"FEDERAL")</f>
        <v>FEDERAL</v>
      </c>
      <c r="AD176" s="18" t="str">
        <f>IFERROR(__xludf.DUMMYFUNCTION("""COMPUTED_VALUE"""),"E")</f>
        <v>E</v>
      </c>
      <c r="AE176" s="18" t="str">
        <f>IFERROR(__xludf.DUMMYFUNCTION("""COMPUTED_VALUE"""),"TERRITÓRIOS")</f>
        <v>TERRITÓRIOS</v>
      </c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</row>
    <row r="177">
      <c r="A177" s="22"/>
      <c r="B177" s="23"/>
      <c r="C177" s="24"/>
      <c r="D177" s="24"/>
      <c r="E177" s="18"/>
      <c r="F177" s="18"/>
      <c r="G177" s="25">
        <f t="shared" ref="G177:I177" si="148">G176</f>
        <v>2022</v>
      </c>
      <c r="H177" s="20" t="str">
        <f t="shared" si="148"/>
        <v>daràmi2022</v>
      </c>
      <c r="I177" s="20" t="str">
        <f t="shared" si="148"/>
        <v>DIREITOS AUTORAIS RELACIONADOS À MEMÓRIA INSTITUCIONAL E ARTÍSTICA DO TRIBUNAL DE JUSTIÇA DO DISTRITO FEDERAL E TERRITÓRIOS</v>
      </c>
      <c r="J177" s="20" t="str">
        <f t="shared" si="2"/>
        <v>Direito de imagem</v>
      </c>
      <c r="K177" s="20"/>
      <c r="L177" s="20" t="str">
        <f t="shared" si="3"/>
        <v>direito de imagem</v>
      </c>
      <c r="M177" s="18"/>
      <c r="N177" s="21" t="str">
        <f>IFERROR(__xludf.DUMMYFUNCTION("""COMPUTED_VALUE""")," Direito de imagem")</f>
        <v> Direito de imagem</v>
      </c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</row>
    <row r="178">
      <c r="A178" s="22"/>
      <c r="B178" s="23"/>
      <c r="C178" s="24"/>
      <c r="D178" s="24"/>
      <c r="E178" s="18"/>
      <c r="F178" s="18"/>
      <c r="G178" s="25">
        <f t="shared" ref="G178:I178" si="149">G177</f>
        <v>2022</v>
      </c>
      <c r="H178" s="20" t="str">
        <f t="shared" si="149"/>
        <v>daràmi2022</v>
      </c>
      <c r="I178" s="20" t="str">
        <f t="shared" si="149"/>
        <v>DIREITOS AUTORAIS RELACIONADOS À MEMÓRIA INSTITUCIONAL E ARTÍSTICA DO TRIBUNAL DE JUSTIÇA DO DISTRITO FEDERAL E TERRITÓRIOS</v>
      </c>
      <c r="J178" s="20" t="str">
        <f t="shared" si="2"/>
        <v>Fotografia</v>
      </c>
      <c r="K178" s="20"/>
      <c r="L178" s="20" t="str">
        <f t="shared" si="3"/>
        <v>fotografia</v>
      </c>
      <c r="M178" s="18"/>
      <c r="N178" s="21" t="str">
        <f>IFERROR(__xludf.DUMMYFUNCTION("""COMPUTED_VALUE""")," Fotografia")</f>
        <v> Fotografia</v>
      </c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</row>
    <row r="179">
      <c r="A179" s="22"/>
      <c r="B179" s="23"/>
      <c r="C179" s="24"/>
      <c r="D179" s="24"/>
      <c r="E179" s="18"/>
      <c r="F179" s="18"/>
      <c r="G179" s="25">
        <f t="shared" ref="G179:I179" si="150">G178</f>
        <v>2022</v>
      </c>
      <c r="H179" s="20" t="str">
        <f t="shared" si="150"/>
        <v>daràmi2022</v>
      </c>
      <c r="I179" s="20" t="str">
        <f t="shared" si="150"/>
        <v>DIREITOS AUTORAIS RELACIONADOS À MEMÓRIA INSTITUCIONAL E ARTÍSTICA DO TRIBUNAL DE JUSTIÇA DO DISTRITO FEDERAL E TERRITÓRIOS</v>
      </c>
      <c r="J179" s="20" t="str">
        <f t="shared" si="2"/>
        <v>Obra de arte</v>
      </c>
      <c r="K179" s="20"/>
      <c r="L179" s="20" t="str">
        <f t="shared" si="3"/>
        <v>obra de arte</v>
      </c>
      <c r="M179" s="18"/>
      <c r="N179" s="21" t="str">
        <f>IFERROR(__xludf.DUMMYFUNCTION("""COMPUTED_VALUE""")," Obra de arte")</f>
        <v> Obra de arte</v>
      </c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</row>
    <row r="180">
      <c r="A180" s="22"/>
      <c r="B180" s="23"/>
      <c r="C180" s="24"/>
      <c r="D180" s="24"/>
      <c r="E180" s="18"/>
      <c r="F180" s="18"/>
      <c r="G180" s="25">
        <f t="shared" ref="G180:I180" si="151">G179</f>
        <v>2022</v>
      </c>
      <c r="H180" s="20" t="str">
        <f t="shared" si="151"/>
        <v>daràmi2022</v>
      </c>
      <c r="I180" s="20" t="str">
        <f t="shared" si="151"/>
        <v>DIREITOS AUTORAIS RELACIONADOS À MEMÓRIA INSTITUCIONAL E ARTÍSTICA DO TRIBUNAL DE JUSTIÇA DO DISTRITO FEDERAL E TERRITÓRIOS</v>
      </c>
      <c r="J180" s="20" t="str">
        <f t="shared" si="2"/>
        <v>TJDFT</v>
      </c>
      <c r="K180" s="20"/>
      <c r="L180" s="20" t="str">
        <f t="shared" si="3"/>
        <v>tjdft</v>
      </c>
      <c r="M180" s="18"/>
      <c r="N180" s="21" t="str">
        <f>IFERROR(__xludf.DUMMYFUNCTION("""COMPUTED_VALUE""")," TJDFT")</f>
        <v> TJDFT</v>
      </c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</row>
    <row r="181">
      <c r="A181" s="8"/>
      <c r="B181" s="9"/>
      <c r="C181" s="10"/>
      <c r="D181" s="10"/>
      <c r="E181" s="18"/>
      <c r="F181" s="18"/>
      <c r="G181" s="25">
        <f t="shared" ref="G181:I181" si="152">G180</f>
        <v>2022</v>
      </c>
      <c r="H181" s="20" t="str">
        <f t="shared" si="152"/>
        <v>daràmi2022</v>
      </c>
      <c r="I181" s="20" t="str">
        <f t="shared" si="152"/>
        <v>DIREITOS AUTORAIS RELACIONADOS À MEMÓRIA INSTITUCIONAL E ARTÍSTICA DO TRIBUNAL DE JUSTIÇA DO DISTRITO FEDERAL E TERRITÓRIOS</v>
      </c>
      <c r="J181" s="20" t="str">
        <f t="shared" si="2"/>
        <v/>
      </c>
      <c r="K181" s="20"/>
      <c r="L181" s="20" t="str">
        <f t="shared" si="3"/>
        <v/>
      </c>
      <c r="M181" s="18"/>
      <c r="N181" s="21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</row>
    <row r="182">
      <c r="A182" s="8" t="s">
        <v>54</v>
      </c>
      <c r="B182" s="9">
        <v>2022.0</v>
      </c>
      <c r="C182" s="10" t="s">
        <v>115</v>
      </c>
      <c r="D182" s="10" t="s">
        <v>116</v>
      </c>
      <c r="E182" s="18"/>
      <c r="F182" s="18"/>
      <c r="G182" s="12">
        <f>B182</f>
        <v>2022</v>
      </c>
      <c r="H182" s="13" t="str">
        <f>LOWER(left(O182,1)&amp;left(P182,1)&amp;left(Q182,1)&amp;left(R182,1)&amp;left(S182,1)&amp;left(T182,1))&amp;G182</f>
        <v>idaàlg2022</v>
      </c>
      <c r="I182" s="20" t="str">
        <f>trim(C182)</f>
        <v>IMPACTO DA ADEQUAÇÃO À LEI GERAL DE PROTEÇÃO DE DADOS PESSOAIS NA METRIFICAÇÃO DA QUALIDADE DE DADOS</v>
      </c>
      <c r="J182" s="20" t="str">
        <f t="shared" si="2"/>
        <v>Qualidade de Dados</v>
      </c>
      <c r="K182" s="20"/>
      <c r="L182" s="20" t="str">
        <f t="shared" si="3"/>
        <v>qualidade de dados</v>
      </c>
      <c r="M182" s="18"/>
      <c r="N182" s="21" t="str">
        <f>IFERROR(__xludf.DUMMYFUNCTION("TRANSPOSE(split(D182,"";"",true,true))"),"Qualidade de Dados")</f>
        <v>Qualidade de Dados</v>
      </c>
      <c r="O182" s="6" t="str">
        <f>IFERROR(__xludf.DUMMYFUNCTION("split(C182,"" "")"),"IMPACTO")</f>
        <v>IMPACTO</v>
      </c>
      <c r="P182" s="18" t="str">
        <f>IFERROR(__xludf.DUMMYFUNCTION("""COMPUTED_VALUE"""),"DA")</f>
        <v>DA</v>
      </c>
      <c r="Q182" s="18" t="str">
        <f>IFERROR(__xludf.DUMMYFUNCTION("""COMPUTED_VALUE"""),"ADEQUAÇÃO")</f>
        <v>ADEQUAÇÃO</v>
      </c>
      <c r="R182" s="18" t="str">
        <f>IFERROR(__xludf.DUMMYFUNCTION("""COMPUTED_VALUE"""),"À")</f>
        <v>À</v>
      </c>
      <c r="S182" s="18" t="str">
        <f>IFERROR(__xludf.DUMMYFUNCTION("""COMPUTED_VALUE"""),"LEI")</f>
        <v>LEI</v>
      </c>
      <c r="T182" s="18" t="str">
        <f>IFERROR(__xludf.DUMMYFUNCTION("""COMPUTED_VALUE"""),"GERAL")</f>
        <v>GERAL</v>
      </c>
      <c r="U182" s="18" t="str">
        <f>IFERROR(__xludf.DUMMYFUNCTION("""COMPUTED_VALUE"""),"DE")</f>
        <v>DE</v>
      </c>
      <c r="V182" s="18" t="str">
        <f>IFERROR(__xludf.DUMMYFUNCTION("""COMPUTED_VALUE"""),"PROTEÇÃO")</f>
        <v>PROTEÇÃO</v>
      </c>
      <c r="W182" s="18" t="str">
        <f>IFERROR(__xludf.DUMMYFUNCTION("""COMPUTED_VALUE"""),"DE")</f>
        <v>DE</v>
      </c>
      <c r="X182" s="18" t="str">
        <f>IFERROR(__xludf.DUMMYFUNCTION("""COMPUTED_VALUE"""),"DADOS")</f>
        <v>DADOS</v>
      </c>
      <c r="Y182" s="18" t="str">
        <f>IFERROR(__xludf.DUMMYFUNCTION("""COMPUTED_VALUE"""),"PESSOAIS")</f>
        <v>PESSOAIS</v>
      </c>
      <c r="Z182" s="18" t="str">
        <f>IFERROR(__xludf.DUMMYFUNCTION("""COMPUTED_VALUE"""),"NA")</f>
        <v>NA</v>
      </c>
      <c r="AA182" s="18" t="str">
        <f>IFERROR(__xludf.DUMMYFUNCTION("""COMPUTED_VALUE"""),"METRIFICAÇÃO")</f>
        <v>METRIFICAÇÃO</v>
      </c>
      <c r="AB182" s="18" t="str">
        <f>IFERROR(__xludf.DUMMYFUNCTION("""COMPUTED_VALUE"""),"DA")</f>
        <v>DA</v>
      </c>
      <c r="AC182" s="18" t="str">
        <f>IFERROR(__xludf.DUMMYFUNCTION("""COMPUTED_VALUE"""),"QUALIDADE")</f>
        <v>QUALIDADE</v>
      </c>
      <c r="AD182" s="18" t="str">
        <f>IFERROR(__xludf.DUMMYFUNCTION("""COMPUTED_VALUE"""),"DE")</f>
        <v>DE</v>
      </c>
      <c r="AE182" s="18" t="str">
        <f>IFERROR(__xludf.DUMMYFUNCTION("""COMPUTED_VALUE"""),"DADOS")</f>
        <v>DADOS</v>
      </c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</row>
    <row r="183">
      <c r="A183" s="22"/>
      <c r="B183" s="23"/>
      <c r="C183" s="24"/>
      <c r="D183" s="24"/>
      <c r="E183" s="18"/>
      <c r="F183" s="18"/>
      <c r="G183" s="25">
        <f t="shared" ref="G183:I183" si="153">G182</f>
        <v>2022</v>
      </c>
      <c r="H183" s="20" t="str">
        <f t="shared" si="153"/>
        <v>idaàlg2022</v>
      </c>
      <c r="I183" s="20" t="str">
        <f t="shared" si="153"/>
        <v>IMPACTO DA ADEQUAÇÃO À LEI GERAL DE PROTEÇÃO DE DADOS PESSOAIS NA METRIFICAÇÃO DA QUALIDADE DE DADOS</v>
      </c>
      <c r="J183" s="20" t="str">
        <f t="shared" si="2"/>
        <v>Lei Geral de Proteção de Dados Pessoais</v>
      </c>
      <c r="K183" s="20"/>
      <c r="L183" s="20" t="str">
        <f t="shared" si="3"/>
        <v>lei geral de proteção de dados pessoais</v>
      </c>
      <c r="M183" s="18"/>
      <c r="N183" s="21" t="str">
        <f>IFERROR(__xludf.DUMMYFUNCTION("""COMPUTED_VALUE""")," Lei Geral de Proteção de Dados Pessoais")</f>
        <v> Lei Geral de Proteção de Dados Pessoais</v>
      </c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</row>
    <row r="184">
      <c r="A184" s="22"/>
      <c r="B184" s="23"/>
      <c r="C184" s="24"/>
      <c r="D184" s="24"/>
      <c r="E184" s="18"/>
      <c r="F184" s="18"/>
      <c r="G184" s="25">
        <f t="shared" ref="G184:I184" si="154">G183</f>
        <v>2022</v>
      </c>
      <c r="H184" s="20" t="str">
        <f t="shared" si="154"/>
        <v>idaàlg2022</v>
      </c>
      <c r="I184" s="20" t="str">
        <f t="shared" si="154"/>
        <v>IMPACTO DA ADEQUAÇÃO À LEI GERAL DE PROTEÇÃO DE DADOS PESSOAIS NA METRIFICAÇÃO DA QUALIDADE DE DADOS</v>
      </c>
      <c r="J184" s="20" t="str">
        <f t="shared" si="2"/>
        <v>Ciência de Dados</v>
      </c>
      <c r="K184" s="20"/>
      <c r="L184" s="20" t="str">
        <f t="shared" si="3"/>
        <v>ciência de dados</v>
      </c>
      <c r="M184" s="18"/>
      <c r="N184" s="21" t="str">
        <f>IFERROR(__xludf.DUMMYFUNCTION("""COMPUTED_VALUE""")," Ciência de Dados")</f>
        <v> Ciência de Dados</v>
      </c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</row>
    <row r="185">
      <c r="A185" s="22"/>
      <c r="B185" s="23"/>
      <c r="C185" s="24"/>
      <c r="D185" s="24"/>
      <c r="E185" s="18"/>
      <c r="F185" s="18"/>
      <c r="G185" s="25">
        <f t="shared" ref="G185:I185" si="155">G184</f>
        <v>2022</v>
      </c>
      <c r="H185" s="20" t="str">
        <f t="shared" si="155"/>
        <v>idaàlg2022</v>
      </c>
      <c r="I185" s="20" t="str">
        <f t="shared" si="155"/>
        <v>IMPACTO DA ADEQUAÇÃO À LEI GERAL DE PROTEÇÃO DE DADOS PESSOAIS NA METRIFICAÇÃO DA QUALIDADE DE DADOS</v>
      </c>
      <c r="J185" s="20" t="str">
        <f t="shared" si="2"/>
        <v/>
      </c>
      <c r="K185" s="20"/>
      <c r="L185" s="20" t="str">
        <f t="shared" si="3"/>
        <v/>
      </c>
      <c r="M185" s="18"/>
      <c r="N185" s="21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</row>
    <row r="186">
      <c r="A186" s="22"/>
      <c r="B186" s="23"/>
      <c r="C186" s="24"/>
      <c r="D186" s="24"/>
      <c r="E186" s="18"/>
      <c r="F186" s="18"/>
      <c r="G186" s="25">
        <f t="shared" ref="G186:I186" si="156">G185</f>
        <v>2022</v>
      </c>
      <c r="H186" s="20" t="str">
        <f t="shared" si="156"/>
        <v>idaàlg2022</v>
      </c>
      <c r="I186" s="20" t="str">
        <f t="shared" si="156"/>
        <v>IMPACTO DA ADEQUAÇÃO À LEI GERAL DE PROTEÇÃO DE DADOS PESSOAIS NA METRIFICAÇÃO DA QUALIDADE DE DADOS</v>
      </c>
      <c r="J186" s="20" t="str">
        <f t="shared" si="2"/>
        <v/>
      </c>
      <c r="K186" s="20"/>
      <c r="L186" s="20" t="str">
        <f t="shared" si="3"/>
        <v/>
      </c>
      <c r="M186" s="18"/>
      <c r="N186" s="21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</row>
    <row r="187">
      <c r="A187" s="8"/>
      <c r="B187" s="9"/>
      <c r="C187" s="10"/>
      <c r="D187" s="10"/>
      <c r="E187" s="18"/>
      <c r="F187" s="18"/>
      <c r="G187" s="25">
        <f t="shared" ref="G187:I187" si="157">G186</f>
        <v>2022</v>
      </c>
      <c r="H187" s="20" t="str">
        <f t="shared" si="157"/>
        <v>idaàlg2022</v>
      </c>
      <c r="I187" s="20" t="str">
        <f t="shared" si="157"/>
        <v>IMPACTO DA ADEQUAÇÃO À LEI GERAL DE PROTEÇÃO DE DADOS PESSOAIS NA METRIFICAÇÃO DA QUALIDADE DE DADOS</v>
      </c>
      <c r="J187" s="20" t="str">
        <f t="shared" si="2"/>
        <v/>
      </c>
      <c r="K187" s="20"/>
      <c r="L187" s="20" t="str">
        <f t="shared" si="3"/>
        <v/>
      </c>
      <c r="M187" s="18"/>
      <c r="N187" s="21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</row>
    <row r="188">
      <c r="A188" s="8" t="s">
        <v>54</v>
      </c>
      <c r="B188" s="9">
        <v>2022.0</v>
      </c>
      <c r="C188" s="10" t="s">
        <v>117</v>
      </c>
      <c r="D188" s="10" t="s">
        <v>118</v>
      </c>
      <c r="E188" s="18"/>
      <c r="F188" s="18"/>
      <c r="G188" s="12">
        <f>B188</f>
        <v>2022</v>
      </c>
      <c r="H188" s="13" t="str">
        <f>LOWER(left(O188,1)&amp;left(P188,1)&amp;left(Q188,1)&amp;left(R188,1)&amp;left(S188,1)&amp;left(T188,1))&amp;G188</f>
        <v>mdphmd2022</v>
      </c>
      <c r="I188" s="20" t="str">
        <f>trim(C188)</f>
        <v>Modelo de Preservação Hipatia: metodologia de estudo de metadados para extração</v>
      </c>
      <c r="J188" s="20" t="str">
        <f t="shared" si="2"/>
        <v>Modelo de Preservação</v>
      </c>
      <c r="K188" s="20"/>
      <c r="L188" s="20" t="str">
        <f t="shared" si="3"/>
        <v>modelo de preservação</v>
      </c>
      <c r="M188" s="18"/>
      <c r="N188" s="21" t="str">
        <f>IFERROR(__xludf.DUMMYFUNCTION("TRANSPOSE(split(D188,"";"",true,true))"),"Modelo de Preservação")</f>
        <v>Modelo de Preservação</v>
      </c>
      <c r="O188" s="6" t="str">
        <f>IFERROR(__xludf.DUMMYFUNCTION("split(C188,"" "")"),"Modelo")</f>
        <v>Modelo</v>
      </c>
      <c r="P188" s="18" t="str">
        <f>IFERROR(__xludf.DUMMYFUNCTION("""COMPUTED_VALUE"""),"de")</f>
        <v>de</v>
      </c>
      <c r="Q188" s="18" t="str">
        <f>IFERROR(__xludf.DUMMYFUNCTION("""COMPUTED_VALUE"""),"Preservação")</f>
        <v>Preservação</v>
      </c>
      <c r="R188" s="18" t="str">
        <f>IFERROR(__xludf.DUMMYFUNCTION("""COMPUTED_VALUE"""),"Hipatia:")</f>
        <v>Hipatia:</v>
      </c>
      <c r="S188" s="18" t="str">
        <f>IFERROR(__xludf.DUMMYFUNCTION("""COMPUTED_VALUE"""),"metodologia")</f>
        <v>metodologia</v>
      </c>
      <c r="T188" s="18" t="str">
        <f>IFERROR(__xludf.DUMMYFUNCTION("""COMPUTED_VALUE"""),"de")</f>
        <v>de</v>
      </c>
      <c r="U188" s="18" t="str">
        <f>IFERROR(__xludf.DUMMYFUNCTION("""COMPUTED_VALUE"""),"estudo")</f>
        <v>estudo</v>
      </c>
      <c r="V188" s="18" t="str">
        <f>IFERROR(__xludf.DUMMYFUNCTION("""COMPUTED_VALUE"""),"de")</f>
        <v>de</v>
      </c>
      <c r="W188" s="18" t="str">
        <f>IFERROR(__xludf.DUMMYFUNCTION("""COMPUTED_VALUE"""),"metadados")</f>
        <v>metadados</v>
      </c>
      <c r="X188" s="18" t="str">
        <f>IFERROR(__xludf.DUMMYFUNCTION("""COMPUTED_VALUE"""),"para")</f>
        <v>para</v>
      </c>
      <c r="Y188" s="18" t="str">
        <f>IFERROR(__xludf.DUMMYFUNCTION("""COMPUTED_VALUE"""),"extração")</f>
        <v>extração</v>
      </c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</row>
    <row r="189">
      <c r="A189" s="22"/>
      <c r="B189" s="23"/>
      <c r="C189" s="24"/>
      <c r="D189" s="24"/>
      <c r="E189" s="18"/>
      <c r="F189" s="18"/>
      <c r="G189" s="25">
        <f t="shared" ref="G189:I189" si="158">G188</f>
        <v>2022</v>
      </c>
      <c r="H189" s="20" t="str">
        <f t="shared" si="158"/>
        <v>mdphmd2022</v>
      </c>
      <c r="I189" s="20" t="str">
        <f t="shared" si="158"/>
        <v>Modelo de Preservação Hipatia: metodologia de estudo de metadados para extração</v>
      </c>
      <c r="J189" s="20" t="str">
        <f t="shared" si="2"/>
        <v>Hipatia</v>
      </c>
      <c r="K189" s="20"/>
      <c r="L189" s="20" t="str">
        <f t="shared" si="3"/>
        <v>hipatia</v>
      </c>
      <c r="M189" s="18"/>
      <c r="N189" s="21" t="str">
        <f>IFERROR(__xludf.DUMMYFUNCTION("""COMPUTED_VALUE""")," Hipatia")</f>
        <v> Hipatia</v>
      </c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</row>
    <row r="190">
      <c r="A190" s="22"/>
      <c r="B190" s="23"/>
      <c r="C190" s="24"/>
      <c r="D190" s="24"/>
      <c r="E190" s="18"/>
      <c r="F190" s="18"/>
      <c r="G190" s="25">
        <f t="shared" ref="G190:I190" si="159">G189</f>
        <v>2022</v>
      </c>
      <c r="H190" s="20" t="str">
        <f t="shared" si="159"/>
        <v>mdphmd2022</v>
      </c>
      <c r="I190" s="20" t="str">
        <f t="shared" si="159"/>
        <v>Modelo de Preservação Hipatia: metodologia de estudo de metadados para extração</v>
      </c>
      <c r="J190" s="20" t="str">
        <f t="shared" si="2"/>
        <v>Extração de dados</v>
      </c>
      <c r="K190" s="20"/>
      <c r="L190" s="20" t="str">
        <f t="shared" si="3"/>
        <v>extração de dados</v>
      </c>
      <c r="M190" s="18"/>
      <c r="N190" s="21" t="str">
        <f>IFERROR(__xludf.DUMMYFUNCTION("""COMPUTED_VALUE""")," Extração de dados")</f>
        <v> Extração de dados</v>
      </c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</row>
    <row r="191">
      <c r="A191" s="22"/>
      <c r="B191" s="23"/>
      <c r="C191" s="24"/>
      <c r="D191" s="24"/>
      <c r="E191" s="18"/>
      <c r="F191" s="18"/>
      <c r="G191" s="25">
        <f t="shared" ref="G191:I191" si="160">G190</f>
        <v>2022</v>
      </c>
      <c r="H191" s="20" t="str">
        <f t="shared" si="160"/>
        <v>mdphmd2022</v>
      </c>
      <c r="I191" s="20" t="str">
        <f t="shared" si="160"/>
        <v>Modelo de Preservação Hipatia: metodologia de estudo de metadados para extração</v>
      </c>
      <c r="J191" s="20" t="str">
        <f t="shared" si="2"/>
        <v>Preservação Digital</v>
      </c>
      <c r="K191" s="20"/>
      <c r="L191" s="20" t="str">
        <f t="shared" si="3"/>
        <v>preservação digital</v>
      </c>
      <c r="M191" s="18"/>
      <c r="N191" s="21" t="str">
        <f>IFERROR(__xludf.DUMMYFUNCTION("""COMPUTED_VALUE""")," Preservação Digital")</f>
        <v> Preservação Digital</v>
      </c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</row>
    <row r="192">
      <c r="A192" s="22"/>
      <c r="B192" s="23"/>
      <c r="C192" s="24"/>
      <c r="D192" s="24"/>
      <c r="E192" s="18"/>
      <c r="F192" s="18"/>
      <c r="G192" s="25">
        <f t="shared" ref="G192:I192" si="161">G191</f>
        <v>2022</v>
      </c>
      <c r="H192" s="20" t="str">
        <f t="shared" si="161"/>
        <v>mdphmd2022</v>
      </c>
      <c r="I192" s="20" t="str">
        <f t="shared" si="161"/>
        <v>Modelo de Preservação Hipatia: metodologia de estudo de metadados para extração</v>
      </c>
      <c r="J192" s="20" t="str">
        <f t="shared" si="2"/>
        <v/>
      </c>
      <c r="K192" s="20"/>
      <c r="L192" s="20" t="str">
        <f t="shared" si="3"/>
        <v/>
      </c>
      <c r="M192" s="18"/>
      <c r="N192" s="21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</row>
    <row r="193">
      <c r="A193" s="8"/>
      <c r="B193" s="9"/>
      <c r="C193" s="10"/>
      <c r="D193" s="10"/>
      <c r="E193" s="18"/>
      <c r="F193" s="18"/>
      <c r="G193" s="25">
        <f t="shared" ref="G193:I193" si="162">G192</f>
        <v>2022</v>
      </c>
      <c r="H193" s="20" t="str">
        <f t="shared" si="162"/>
        <v>mdphmd2022</v>
      </c>
      <c r="I193" s="20" t="str">
        <f t="shared" si="162"/>
        <v>Modelo de Preservação Hipatia: metodologia de estudo de metadados para extração</v>
      </c>
      <c r="J193" s="20" t="str">
        <f t="shared" si="2"/>
        <v/>
      </c>
      <c r="K193" s="20"/>
      <c r="L193" s="20" t="str">
        <f t="shared" si="3"/>
        <v/>
      </c>
      <c r="M193" s="18"/>
      <c r="N193" s="21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</row>
    <row r="194">
      <c r="A194" s="8" t="s">
        <v>54</v>
      </c>
      <c r="B194" s="9">
        <v>2022.0</v>
      </c>
      <c r="C194" s="10" t="s">
        <v>119</v>
      </c>
      <c r="D194" s="10" t="s">
        <v>120</v>
      </c>
      <c r="E194" s="18"/>
      <c r="F194" s="18"/>
      <c r="G194" s="12">
        <f>B194</f>
        <v>2022</v>
      </c>
      <c r="H194" s="13" t="str">
        <f>LOWER(left(O194,1)&amp;left(P194,1)&amp;left(Q194,1)&amp;left(R194,1)&amp;left(S194,1)&amp;left(T194,1))&amp;G194</f>
        <v>pdcevu2022</v>
      </c>
      <c r="I194" s="20" t="str">
        <f>trim(C194)</f>
        <v>Previsão de crimes em Valência: Uma abordagem multi-rótulo</v>
      </c>
      <c r="J194" s="20" t="str">
        <f t="shared" si="2"/>
        <v>Aprendizado de máquina</v>
      </c>
      <c r="K194" s="20"/>
      <c r="L194" s="20" t="str">
        <f t="shared" si="3"/>
        <v>aprendizado de máquina</v>
      </c>
      <c r="M194" s="18"/>
      <c r="N194" s="21" t="str">
        <f>IFERROR(__xludf.DUMMYFUNCTION("TRANSPOSE(split(D194,"";"",true,true))"),"Aprendizado de máquina")</f>
        <v>Aprendizado de máquina</v>
      </c>
      <c r="O194" s="6" t="str">
        <f>IFERROR(__xludf.DUMMYFUNCTION("split(C194,"" "")"),"Previsão")</f>
        <v>Previsão</v>
      </c>
      <c r="P194" s="18" t="str">
        <f>IFERROR(__xludf.DUMMYFUNCTION("""COMPUTED_VALUE"""),"de")</f>
        <v>de</v>
      </c>
      <c r="Q194" s="18" t="str">
        <f>IFERROR(__xludf.DUMMYFUNCTION("""COMPUTED_VALUE"""),"crimes")</f>
        <v>crimes</v>
      </c>
      <c r="R194" s="18" t="str">
        <f>IFERROR(__xludf.DUMMYFUNCTION("""COMPUTED_VALUE"""),"em")</f>
        <v>em</v>
      </c>
      <c r="S194" s="18" t="str">
        <f>IFERROR(__xludf.DUMMYFUNCTION("""COMPUTED_VALUE"""),"Valência:")</f>
        <v>Valência:</v>
      </c>
      <c r="T194" s="18" t="str">
        <f>IFERROR(__xludf.DUMMYFUNCTION("""COMPUTED_VALUE"""),"Uma")</f>
        <v>Uma</v>
      </c>
      <c r="U194" s="18" t="str">
        <f>IFERROR(__xludf.DUMMYFUNCTION("""COMPUTED_VALUE"""),"abordagem")</f>
        <v>abordagem</v>
      </c>
      <c r="V194" s="18" t="str">
        <f>IFERROR(__xludf.DUMMYFUNCTION("""COMPUTED_VALUE"""),"multi-rótulo")</f>
        <v>multi-rótulo</v>
      </c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</row>
    <row r="195">
      <c r="A195" s="22"/>
      <c r="B195" s="23"/>
      <c r="C195" s="24"/>
      <c r="D195" s="24"/>
      <c r="E195" s="18"/>
      <c r="F195" s="18"/>
      <c r="G195" s="25">
        <f t="shared" ref="G195:I195" si="163">G194</f>
        <v>2022</v>
      </c>
      <c r="H195" s="20" t="str">
        <f t="shared" si="163"/>
        <v>pdcevu2022</v>
      </c>
      <c r="I195" s="20" t="str">
        <f t="shared" si="163"/>
        <v>Previsão de crimes em Valência: Uma abordagem multi-rótulo</v>
      </c>
      <c r="J195" s="20" t="str">
        <f t="shared" si="2"/>
        <v>previsão de crimes</v>
      </c>
      <c r="K195" s="20"/>
      <c r="L195" s="20" t="str">
        <f t="shared" si="3"/>
        <v>previsão de crimes</v>
      </c>
      <c r="M195" s="18"/>
      <c r="N195" s="21" t="str">
        <f>IFERROR(__xludf.DUMMYFUNCTION("""COMPUTED_VALUE""")," previsão de crimes")</f>
        <v> previsão de crimes</v>
      </c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</row>
    <row r="196">
      <c r="A196" s="22"/>
      <c r="B196" s="23"/>
      <c r="C196" s="24"/>
      <c r="D196" s="24"/>
      <c r="E196" s="18"/>
      <c r="F196" s="18"/>
      <c r="G196" s="25">
        <f t="shared" ref="G196:I196" si="164">G195</f>
        <v>2022</v>
      </c>
      <c r="H196" s="20" t="str">
        <f t="shared" si="164"/>
        <v>pdcevu2022</v>
      </c>
      <c r="I196" s="20" t="str">
        <f t="shared" si="164"/>
        <v>Previsão de crimes em Valência: Uma abordagem multi-rótulo</v>
      </c>
      <c r="J196" s="20" t="str">
        <f t="shared" si="2"/>
        <v>multirrótulo</v>
      </c>
      <c r="K196" s="20"/>
      <c r="L196" s="20" t="str">
        <f t="shared" si="3"/>
        <v>multirrótulo</v>
      </c>
      <c r="M196" s="18"/>
      <c r="N196" s="21" t="str">
        <f>IFERROR(__xludf.DUMMYFUNCTION("""COMPUTED_VALUE""")," multirrótulo")</f>
        <v> multirrótulo</v>
      </c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</row>
    <row r="197">
      <c r="A197" s="22"/>
      <c r="B197" s="23"/>
      <c r="C197" s="24"/>
      <c r="D197" s="24"/>
      <c r="E197" s="18"/>
      <c r="F197" s="18"/>
      <c r="G197" s="25">
        <f t="shared" ref="G197:I197" si="165">G196</f>
        <v>2022</v>
      </c>
      <c r="H197" s="20" t="str">
        <f t="shared" si="165"/>
        <v>pdcevu2022</v>
      </c>
      <c r="I197" s="20" t="str">
        <f t="shared" si="165"/>
        <v>Previsão de crimes em Valência: Uma abordagem multi-rótulo</v>
      </c>
      <c r="J197" s="20" t="str">
        <f t="shared" si="2"/>
        <v/>
      </c>
      <c r="K197" s="20"/>
      <c r="L197" s="20" t="str">
        <f t="shared" si="3"/>
        <v/>
      </c>
      <c r="M197" s="18"/>
      <c r="N197" s="21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</row>
    <row r="198">
      <c r="A198" s="22"/>
      <c r="B198" s="23"/>
      <c r="C198" s="24"/>
      <c r="D198" s="24"/>
      <c r="E198" s="18"/>
      <c r="F198" s="18"/>
      <c r="G198" s="25">
        <f t="shared" ref="G198:I198" si="166">G197</f>
        <v>2022</v>
      </c>
      <c r="H198" s="20" t="str">
        <f t="shared" si="166"/>
        <v>pdcevu2022</v>
      </c>
      <c r="I198" s="20" t="str">
        <f t="shared" si="166"/>
        <v>Previsão de crimes em Valência: Uma abordagem multi-rótulo</v>
      </c>
      <c r="J198" s="20" t="str">
        <f t="shared" si="2"/>
        <v/>
      </c>
      <c r="K198" s="20"/>
      <c r="L198" s="20" t="str">
        <f t="shared" si="3"/>
        <v/>
      </c>
      <c r="M198" s="18"/>
      <c r="N198" s="21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</row>
    <row r="199">
      <c r="A199" s="8"/>
      <c r="B199" s="9"/>
      <c r="C199" s="10"/>
      <c r="D199" s="10"/>
      <c r="E199" s="18"/>
      <c r="F199" s="18"/>
      <c r="G199" s="25">
        <f t="shared" ref="G199:I199" si="167">G198</f>
        <v>2022</v>
      </c>
      <c r="H199" s="20" t="str">
        <f t="shared" si="167"/>
        <v>pdcevu2022</v>
      </c>
      <c r="I199" s="20" t="str">
        <f t="shared" si="167"/>
        <v>Previsão de crimes em Valência: Uma abordagem multi-rótulo</v>
      </c>
      <c r="J199" s="20" t="str">
        <f t="shared" si="2"/>
        <v/>
      </c>
      <c r="K199" s="20"/>
      <c r="L199" s="20" t="str">
        <f t="shared" si="3"/>
        <v/>
      </c>
      <c r="M199" s="18"/>
      <c r="N199" s="21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</row>
    <row r="200">
      <c r="A200" s="8" t="s">
        <v>54</v>
      </c>
      <c r="B200" s="9">
        <v>2022.0</v>
      </c>
      <c r="C200" s="10" t="s">
        <v>121</v>
      </c>
      <c r="D200" s="10" t="s">
        <v>122</v>
      </c>
      <c r="E200" s="18"/>
      <c r="F200" s="18"/>
      <c r="G200" s="12">
        <f>B200</f>
        <v>2022</v>
      </c>
      <c r="H200" s="13" t="str">
        <f>LOWER(left(O200,1)&amp;left(P200,1)&amp;left(Q200,1)&amp;left(R200,1)&amp;left(S200,1)&amp;left(T200,1))&amp;G200</f>
        <v>pdlnem2022</v>
      </c>
      <c r="I200" s="20" t="str">
        <f>trim(C200)</f>
        <v>PROCESSAMENTO DE LINGUAGEM NATURAL E MACHINE LEARNING COMO APARATO PARA A CATEGORIZAÇÃO DE ARTIGOS CIENTÍFICOS</v>
      </c>
      <c r="J200" s="20" t="str">
        <f t="shared" si="2"/>
        <v>machine Learning</v>
      </c>
      <c r="K200" s="20"/>
      <c r="L200" s="20" t="str">
        <f t="shared" si="3"/>
        <v>machine learning</v>
      </c>
      <c r="M200" s="18"/>
      <c r="N200" s="21" t="str">
        <f>IFERROR(__xludf.DUMMYFUNCTION("TRANSPOSE(split(D200,"";"",true,true))"),"machine Learning")</f>
        <v>machine Learning</v>
      </c>
      <c r="O200" s="6" t="str">
        <f>IFERROR(__xludf.DUMMYFUNCTION("split(C200,"" "")"),"PROCESSAMENTO")</f>
        <v>PROCESSAMENTO</v>
      </c>
      <c r="P200" s="18" t="str">
        <f>IFERROR(__xludf.DUMMYFUNCTION("""COMPUTED_VALUE"""),"DE")</f>
        <v>DE</v>
      </c>
      <c r="Q200" s="18" t="str">
        <f>IFERROR(__xludf.DUMMYFUNCTION("""COMPUTED_VALUE"""),"LINGUAGEM")</f>
        <v>LINGUAGEM</v>
      </c>
      <c r="R200" s="18" t="str">
        <f>IFERROR(__xludf.DUMMYFUNCTION("""COMPUTED_VALUE"""),"NATURAL")</f>
        <v>NATURAL</v>
      </c>
      <c r="S200" s="18" t="str">
        <f>IFERROR(__xludf.DUMMYFUNCTION("""COMPUTED_VALUE"""),"E")</f>
        <v>E</v>
      </c>
      <c r="T200" s="18" t="str">
        <f>IFERROR(__xludf.DUMMYFUNCTION("""COMPUTED_VALUE"""),"MACHINE")</f>
        <v>MACHINE</v>
      </c>
      <c r="U200" s="18" t="str">
        <f>IFERROR(__xludf.DUMMYFUNCTION("""COMPUTED_VALUE"""),"LEARNING")</f>
        <v>LEARNING</v>
      </c>
      <c r="V200" s="18" t="str">
        <f>IFERROR(__xludf.DUMMYFUNCTION("""COMPUTED_VALUE"""),"COMO")</f>
        <v>COMO</v>
      </c>
      <c r="W200" s="18" t="str">
        <f>IFERROR(__xludf.DUMMYFUNCTION("""COMPUTED_VALUE"""),"APARATO")</f>
        <v>APARATO</v>
      </c>
      <c r="X200" s="18" t="str">
        <f>IFERROR(__xludf.DUMMYFUNCTION("""COMPUTED_VALUE"""),"PARA")</f>
        <v>PARA</v>
      </c>
      <c r="Y200" s="18" t="str">
        <f>IFERROR(__xludf.DUMMYFUNCTION("""COMPUTED_VALUE"""),"A")</f>
        <v>A</v>
      </c>
      <c r="Z200" s="18" t="str">
        <f>IFERROR(__xludf.DUMMYFUNCTION("""COMPUTED_VALUE"""),"CATEGORIZAÇÃO")</f>
        <v>CATEGORIZAÇÃO</v>
      </c>
      <c r="AA200" s="18" t="str">
        <f>IFERROR(__xludf.DUMMYFUNCTION("""COMPUTED_VALUE"""),"DE")</f>
        <v>DE</v>
      </c>
      <c r="AB200" s="18" t="str">
        <f>IFERROR(__xludf.DUMMYFUNCTION("""COMPUTED_VALUE"""),"ARTIGOS")</f>
        <v>ARTIGOS</v>
      </c>
      <c r="AC200" s="18" t="str">
        <f>IFERROR(__xludf.DUMMYFUNCTION("""COMPUTED_VALUE"""),"CIENTÍFICOS")</f>
        <v>CIENTÍFICOS</v>
      </c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</row>
    <row r="201">
      <c r="A201" s="22"/>
      <c r="B201" s="23"/>
      <c r="C201" s="24"/>
      <c r="D201" s="24"/>
      <c r="E201" s="18"/>
      <c r="F201" s="18"/>
      <c r="G201" s="25">
        <f t="shared" ref="G201:I201" si="168">G200</f>
        <v>2022</v>
      </c>
      <c r="H201" s="20" t="str">
        <f t="shared" si="168"/>
        <v>pdlnem2022</v>
      </c>
      <c r="I201" s="20" t="str">
        <f t="shared" si="168"/>
        <v>PROCESSAMENTO DE LINGUAGEM NATURAL E MACHINE LEARNING COMO APARATO PARA A CATEGORIZAÇÃO DE ARTIGOS CIENTÍFICOS</v>
      </c>
      <c r="J201" s="20" t="str">
        <f t="shared" si="2"/>
        <v>processamento de linguagem natural</v>
      </c>
      <c r="K201" s="20"/>
      <c r="L201" s="20" t="str">
        <f t="shared" si="3"/>
        <v>processamento de linguagem natural</v>
      </c>
      <c r="M201" s="18"/>
      <c r="N201" s="21" t="str">
        <f>IFERROR(__xludf.DUMMYFUNCTION("""COMPUTED_VALUE""")," processamento de linguagem natural")</f>
        <v> processamento de linguagem natural</v>
      </c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</row>
    <row r="202">
      <c r="A202" s="22"/>
      <c r="B202" s="23"/>
      <c r="C202" s="24"/>
      <c r="D202" s="24"/>
      <c r="E202" s="18"/>
      <c r="F202" s="18"/>
      <c r="G202" s="25">
        <f t="shared" ref="G202:I202" si="169">G201</f>
        <v>2022</v>
      </c>
      <c r="H202" s="20" t="str">
        <f t="shared" si="169"/>
        <v>pdlnem2022</v>
      </c>
      <c r="I202" s="20" t="str">
        <f t="shared" si="169"/>
        <v>PROCESSAMENTO DE LINGUAGEM NATURAL E MACHINE LEARNING COMO APARATO PARA A CATEGORIZAÇÃO DE ARTIGOS CIENTÍFICOS</v>
      </c>
      <c r="J202" s="20" t="str">
        <f t="shared" si="2"/>
        <v>algoritmo de rede neural</v>
      </c>
      <c r="K202" s="20"/>
      <c r="L202" s="20" t="str">
        <f t="shared" si="3"/>
        <v>algoritmo de rede neural</v>
      </c>
      <c r="M202" s="18"/>
      <c r="N202" s="21" t="str">
        <f>IFERROR(__xludf.DUMMYFUNCTION("""COMPUTED_VALUE""")," algoritmo de rede neural")</f>
        <v> algoritmo de rede neural</v>
      </c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</row>
    <row r="203">
      <c r="A203" s="22"/>
      <c r="B203" s="23"/>
      <c r="C203" s="24"/>
      <c r="D203" s="24"/>
      <c r="E203" s="18"/>
      <c r="F203" s="18"/>
      <c r="G203" s="25">
        <f t="shared" ref="G203:I203" si="170">G202</f>
        <v>2022</v>
      </c>
      <c r="H203" s="20" t="str">
        <f t="shared" si="170"/>
        <v>pdlnem2022</v>
      </c>
      <c r="I203" s="20" t="str">
        <f t="shared" si="170"/>
        <v>PROCESSAMENTO DE LINGUAGEM NATURAL E MACHINE LEARNING COMO APARATO PARA A CATEGORIZAÇÃO DE ARTIGOS CIENTÍFICOS</v>
      </c>
      <c r="J203" s="20" t="str">
        <f t="shared" si="2"/>
        <v>algoritmo de clusterização hierárquica</v>
      </c>
      <c r="K203" s="20"/>
      <c r="L203" s="20" t="str">
        <f t="shared" si="3"/>
        <v>algoritmo de clusterização hierárquica</v>
      </c>
      <c r="M203" s="18"/>
      <c r="N203" s="21" t="str">
        <f>IFERROR(__xludf.DUMMYFUNCTION("""COMPUTED_VALUE""")," algoritmo de clusterização hierárquica")</f>
        <v> algoritmo de clusterização hierárquica</v>
      </c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</row>
    <row r="204">
      <c r="A204" s="22"/>
      <c r="B204" s="23"/>
      <c r="C204" s="24"/>
      <c r="D204" s="24"/>
      <c r="E204" s="18"/>
      <c r="F204" s="18"/>
      <c r="G204" s="25">
        <f t="shared" ref="G204:I204" si="171">G203</f>
        <v>2022</v>
      </c>
      <c r="H204" s="20" t="str">
        <f t="shared" si="171"/>
        <v>pdlnem2022</v>
      </c>
      <c r="I204" s="20" t="str">
        <f t="shared" si="171"/>
        <v>PROCESSAMENTO DE LINGUAGEM NATURAL E MACHINE LEARNING COMO APARATO PARA A CATEGORIZAÇÃO DE ARTIGOS CIENTÍFICOS</v>
      </c>
      <c r="J204" s="20" t="str">
        <f t="shared" si="2"/>
        <v>patrimônio cultural</v>
      </c>
      <c r="K204" s="20"/>
      <c r="L204" s="20" t="str">
        <f t="shared" si="3"/>
        <v>patrimônio cultural</v>
      </c>
      <c r="M204" s="18"/>
      <c r="N204" s="21" t="str">
        <f>IFERROR(__xludf.DUMMYFUNCTION("""COMPUTED_VALUE""")," patrimônio cultural")</f>
        <v> patrimônio cultural</v>
      </c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</row>
    <row r="205">
      <c r="A205" s="8"/>
      <c r="B205" s="9"/>
      <c r="C205" s="10"/>
      <c r="D205" s="10"/>
      <c r="E205" s="18"/>
      <c r="F205" s="18"/>
      <c r="G205" s="25">
        <f t="shared" ref="G205:I205" si="172">G204</f>
        <v>2022</v>
      </c>
      <c r="H205" s="20" t="str">
        <f t="shared" si="172"/>
        <v>pdlnem2022</v>
      </c>
      <c r="I205" s="20" t="str">
        <f t="shared" si="172"/>
        <v>PROCESSAMENTO DE LINGUAGEM NATURAL E MACHINE LEARNING COMO APARATO PARA A CATEGORIZAÇÃO DE ARTIGOS CIENTÍFICOS</v>
      </c>
      <c r="J205" s="20" t="str">
        <f t="shared" si="2"/>
        <v/>
      </c>
      <c r="K205" s="20"/>
      <c r="L205" s="20" t="str">
        <f t="shared" si="3"/>
        <v/>
      </c>
      <c r="M205" s="18"/>
      <c r="N205" s="21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</row>
    <row r="206">
      <c r="A206" s="8" t="s">
        <v>54</v>
      </c>
      <c r="B206" s="9">
        <v>2022.0</v>
      </c>
      <c r="C206" s="10" t="s">
        <v>123</v>
      </c>
      <c r="D206" s="10" t="s">
        <v>124</v>
      </c>
      <c r="E206" s="18"/>
      <c r="F206" s="18"/>
      <c r="G206" s="12">
        <f>B206</f>
        <v>2022</v>
      </c>
      <c r="H206" s="13" t="str">
        <f>LOWER(left(O206,1)&amp;left(P206,1)&amp;left(Q206,1)&amp;left(R206,1)&amp;left(S206,1)&amp;left(T206,1))&amp;G206</f>
        <v>rdiemu2022</v>
      </c>
      <c r="I206" s="20" t="str">
        <f>trim(C206)</f>
        <v>REPRESENTAÇÃO DA INFORMAÇÃO EM MUSEUS: uma revisão sistemática em bases de dados brasileiras</v>
      </c>
      <c r="J206" s="20" t="str">
        <f t="shared" si="2"/>
        <v>representação da informação</v>
      </c>
      <c r="K206" s="20"/>
      <c r="L206" s="20" t="str">
        <f t="shared" si="3"/>
        <v>representação da informação</v>
      </c>
      <c r="M206" s="18"/>
      <c r="N206" s="21" t="str">
        <f>IFERROR(__xludf.DUMMYFUNCTION("TRANSPOSE(split(D206,"";"",true,true))"),"representação da informação")</f>
        <v>representação da informação</v>
      </c>
      <c r="O206" s="6" t="str">
        <f>IFERROR(__xludf.DUMMYFUNCTION("split(C206,"" "")"),"REPRESENTAÇÃO")</f>
        <v>REPRESENTAÇÃO</v>
      </c>
      <c r="P206" s="18" t="str">
        <f>IFERROR(__xludf.DUMMYFUNCTION("""COMPUTED_VALUE"""),"DA")</f>
        <v>DA</v>
      </c>
      <c r="Q206" s="18" t="str">
        <f>IFERROR(__xludf.DUMMYFUNCTION("""COMPUTED_VALUE"""),"INFORMAÇÃO")</f>
        <v>INFORMAÇÃO</v>
      </c>
      <c r="R206" s="18" t="str">
        <f>IFERROR(__xludf.DUMMYFUNCTION("""COMPUTED_VALUE"""),"EM")</f>
        <v>EM</v>
      </c>
      <c r="S206" s="18" t="str">
        <f>IFERROR(__xludf.DUMMYFUNCTION("""COMPUTED_VALUE"""),"MUSEUS:")</f>
        <v>MUSEUS:</v>
      </c>
      <c r="T206" s="18" t="str">
        <f>IFERROR(__xludf.DUMMYFUNCTION("""COMPUTED_VALUE"""),"uma")</f>
        <v>uma</v>
      </c>
      <c r="U206" s="18" t="str">
        <f>IFERROR(__xludf.DUMMYFUNCTION("""COMPUTED_VALUE"""),"revisão")</f>
        <v>revisão</v>
      </c>
      <c r="V206" s="18" t="str">
        <f>IFERROR(__xludf.DUMMYFUNCTION("""COMPUTED_VALUE"""),"sistemática")</f>
        <v>sistemática</v>
      </c>
      <c r="W206" s="18" t="str">
        <f>IFERROR(__xludf.DUMMYFUNCTION("""COMPUTED_VALUE"""),"em")</f>
        <v>em</v>
      </c>
      <c r="X206" s="18" t="str">
        <f>IFERROR(__xludf.DUMMYFUNCTION("""COMPUTED_VALUE"""),"bases")</f>
        <v>bases</v>
      </c>
      <c r="Y206" s="18" t="str">
        <f>IFERROR(__xludf.DUMMYFUNCTION("""COMPUTED_VALUE"""),"de")</f>
        <v>de</v>
      </c>
      <c r="Z206" s="18" t="str">
        <f>IFERROR(__xludf.DUMMYFUNCTION("""COMPUTED_VALUE"""),"dados")</f>
        <v>dados</v>
      </c>
      <c r="AA206" s="18" t="str">
        <f>IFERROR(__xludf.DUMMYFUNCTION("""COMPUTED_VALUE"""),"brasileiras")</f>
        <v>brasileiras</v>
      </c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</row>
    <row r="207">
      <c r="A207" s="22"/>
      <c r="B207" s="23"/>
      <c r="C207" s="24"/>
      <c r="D207" s="24"/>
      <c r="E207" s="18"/>
      <c r="F207" s="18"/>
      <c r="G207" s="25">
        <f t="shared" ref="G207:I207" si="173">G206</f>
        <v>2022</v>
      </c>
      <c r="H207" s="20" t="str">
        <f t="shared" si="173"/>
        <v>rdiemu2022</v>
      </c>
      <c r="I207" s="20" t="str">
        <f t="shared" si="173"/>
        <v>REPRESENTAÇÃO DA INFORMAÇÃO EM MUSEUS: uma revisão sistemática em bases de dados brasileiras</v>
      </c>
      <c r="J207" s="20" t="str">
        <f t="shared" si="2"/>
        <v>museus</v>
      </c>
      <c r="K207" s="20"/>
      <c r="L207" s="20" t="str">
        <f t="shared" si="3"/>
        <v>museus</v>
      </c>
      <c r="M207" s="18"/>
      <c r="N207" s="21" t="str">
        <f>IFERROR(__xludf.DUMMYFUNCTION("""COMPUTED_VALUE""")," museus")</f>
        <v> museus</v>
      </c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</row>
    <row r="208">
      <c r="A208" s="22"/>
      <c r="B208" s="23"/>
      <c r="C208" s="24"/>
      <c r="D208" s="24"/>
      <c r="E208" s="18"/>
      <c r="F208" s="18"/>
      <c r="G208" s="25">
        <f t="shared" ref="G208:I208" si="174">G207</f>
        <v>2022</v>
      </c>
      <c r="H208" s="20" t="str">
        <f t="shared" si="174"/>
        <v>rdiemu2022</v>
      </c>
      <c r="I208" s="20" t="str">
        <f t="shared" si="174"/>
        <v>REPRESENTAÇÃO DA INFORMAÇÃO EM MUSEUS: uma revisão sistemática em bases de dados brasileiras</v>
      </c>
      <c r="J208" s="20" t="str">
        <f t="shared" si="2"/>
        <v>revisão sistemática</v>
      </c>
      <c r="K208" s="20"/>
      <c r="L208" s="20" t="str">
        <f t="shared" si="3"/>
        <v>revisão sistemática</v>
      </c>
      <c r="M208" s="18"/>
      <c r="N208" s="21" t="str">
        <f>IFERROR(__xludf.DUMMYFUNCTION("""COMPUTED_VALUE""")," revisão sistemática")</f>
        <v> revisão sistemática</v>
      </c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</row>
    <row r="209">
      <c r="A209" s="22"/>
      <c r="B209" s="23"/>
      <c r="C209" s="24"/>
      <c r="D209" s="24"/>
      <c r="E209" s="18"/>
      <c r="F209" s="18"/>
      <c r="G209" s="25">
        <f t="shared" ref="G209:I209" si="175">G208</f>
        <v>2022</v>
      </c>
      <c r="H209" s="20" t="str">
        <f t="shared" si="175"/>
        <v>rdiemu2022</v>
      </c>
      <c r="I209" s="20" t="str">
        <f t="shared" si="175"/>
        <v>REPRESENTAÇÃO DA INFORMAÇÃO EM MUSEUS: uma revisão sistemática em bases de dados brasileiras</v>
      </c>
      <c r="J209" s="20" t="str">
        <f t="shared" si="2"/>
        <v>bases de dados brasileiras</v>
      </c>
      <c r="K209" s="20"/>
      <c r="L209" s="20" t="str">
        <f t="shared" si="3"/>
        <v>bases de dados brasileiras</v>
      </c>
      <c r="M209" s="18"/>
      <c r="N209" s="21" t="str">
        <f>IFERROR(__xludf.DUMMYFUNCTION("""COMPUTED_VALUE""")," bases de dados brasileiras")</f>
        <v> bases de dados brasileiras</v>
      </c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</row>
    <row r="210">
      <c r="A210" s="22"/>
      <c r="B210" s="23"/>
      <c r="C210" s="24"/>
      <c r="D210" s="24"/>
      <c r="E210" s="18"/>
      <c r="F210" s="18"/>
      <c r="G210" s="25">
        <f t="shared" ref="G210:I210" si="176">G209</f>
        <v>2022</v>
      </c>
      <c r="H210" s="20" t="str">
        <f t="shared" si="176"/>
        <v>rdiemu2022</v>
      </c>
      <c r="I210" s="20" t="str">
        <f t="shared" si="176"/>
        <v>REPRESENTAÇÃO DA INFORMAÇÃO EM MUSEUS: uma revisão sistemática em bases de dados brasileiras</v>
      </c>
      <c r="J210" s="20" t="str">
        <f t="shared" si="2"/>
        <v>análise de conteúdo</v>
      </c>
      <c r="K210" s="20"/>
      <c r="L210" s="20" t="str">
        <f t="shared" si="3"/>
        <v>análise de conteúdo</v>
      </c>
      <c r="M210" s="18"/>
      <c r="N210" s="21" t="str">
        <f>IFERROR(__xludf.DUMMYFUNCTION("""COMPUTED_VALUE""")," análise de conteúdo")</f>
        <v> análise de conteúdo</v>
      </c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</row>
    <row r="211">
      <c r="A211" s="8"/>
      <c r="B211" s="9"/>
      <c r="C211" s="10"/>
      <c r="D211" s="10"/>
      <c r="E211" s="18"/>
      <c r="F211" s="18"/>
      <c r="G211" s="25">
        <f t="shared" ref="G211:I211" si="177">G210</f>
        <v>2022</v>
      </c>
      <c r="H211" s="20" t="str">
        <f t="shared" si="177"/>
        <v>rdiemu2022</v>
      </c>
      <c r="I211" s="20" t="str">
        <f t="shared" si="177"/>
        <v>REPRESENTAÇÃO DA INFORMAÇÃO EM MUSEUS: uma revisão sistemática em bases de dados brasileiras</v>
      </c>
      <c r="J211" s="20" t="str">
        <f t="shared" si="2"/>
        <v/>
      </c>
      <c r="K211" s="20"/>
      <c r="L211" s="20" t="str">
        <f t="shared" si="3"/>
        <v/>
      </c>
      <c r="M211" s="18"/>
      <c r="N211" s="21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</row>
    <row r="212">
      <c r="A212" s="8" t="s">
        <v>54</v>
      </c>
      <c r="B212" s="9">
        <v>2022.0</v>
      </c>
      <c r="C212" s="10" t="s">
        <v>125</v>
      </c>
      <c r="D212" s="10" t="s">
        <v>126</v>
      </c>
      <c r="E212" s="18"/>
      <c r="F212" s="18"/>
      <c r="G212" s="12">
        <f>B212</f>
        <v>2022</v>
      </c>
      <c r="H212" s="13" t="str">
        <f>LOWER(left(O212,1)&amp;left(P212,1)&amp;left(Q212,1)&amp;left(R212,1)&amp;left(S212,1)&amp;left(T212,1))&amp;G212</f>
        <v>reopou2022</v>
      </c>
      <c r="I212" s="20" t="str">
        <f>trim(C212)</f>
        <v>RISCOS E OPORTUNIDADES PARA OS USUÁRIOS DAS FINANÇAS DESCENTRALIZADAS</v>
      </c>
      <c r="J212" s="20" t="str">
        <f t="shared" si="2"/>
        <v>Finanças Descentralizadas</v>
      </c>
      <c r="K212" s="20"/>
      <c r="L212" s="20" t="str">
        <f t="shared" si="3"/>
        <v>finanças descentralizadas</v>
      </c>
      <c r="M212" s="18"/>
      <c r="N212" s="21" t="str">
        <f>IFERROR(__xludf.DUMMYFUNCTION("TRANSPOSE(split(D212,"";"",true,true))"),"Finanças Descentralizadas")</f>
        <v>Finanças Descentralizadas</v>
      </c>
      <c r="O212" s="6" t="str">
        <f>IFERROR(__xludf.DUMMYFUNCTION("split(C212,"" "")"),"RISCOS")</f>
        <v>RISCOS</v>
      </c>
      <c r="P212" s="18" t="str">
        <f>IFERROR(__xludf.DUMMYFUNCTION("""COMPUTED_VALUE"""),"E")</f>
        <v>E</v>
      </c>
      <c r="Q212" s="18" t="str">
        <f>IFERROR(__xludf.DUMMYFUNCTION("""COMPUTED_VALUE"""),"OPORTUNIDADES")</f>
        <v>OPORTUNIDADES</v>
      </c>
      <c r="R212" s="18" t="str">
        <f>IFERROR(__xludf.DUMMYFUNCTION("""COMPUTED_VALUE"""),"PARA")</f>
        <v>PARA</v>
      </c>
      <c r="S212" s="18" t="str">
        <f>IFERROR(__xludf.DUMMYFUNCTION("""COMPUTED_VALUE"""),"OS")</f>
        <v>OS</v>
      </c>
      <c r="T212" s="18" t="str">
        <f>IFERROR(__xludf.DUMMYFUNCTION("""COMPUTED_VALUE"""),"USUÁRIOS")</f>
        <v>USUÁRIOS</v>
      </c>
      <c r="U212" s="18" t="str">
        <f>IFERROR(__xludf.DUMMYFUNCTION("""COMPUTED_VALUE"""),"DAS")</f>
        <v>DAS</v>
      </c>
      <c r="V212" s="18" t="str">
        <f>IFERROR(__xludf.DUMMYFUNCTION("""COMPUTED_VALUE"""),"FINANÇAS")</f>
        <v>FINANÇAS</v>
      </c>
      <c r="W212" s="18" t="str">
        <f>IFERROR(__xludf.DUMMYFUNCTION("""COMPUTED_VALUE"""),"DESCENTRALIZADAS")</f>
        <v>DESCENTRALIZADAS</v>
      </c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</row>
    <row r="213">
      <c r="A213" s="22"/>
      <c r="B213" s="23"/>
      <c r="C213" s="24"/>
      <c r="D213" s="24"/>
      <c r="E213" s="18"/>
      <c r="F213" s="18"/>
      <c r="G213" s="25">
        <f t="shared" ref="G213:I213" si="178">G212</f>
        <v>2022</v>
      </c>
      <c r="H213" s="20" t="str">
        <f t="shared" si="178"/>
        <v>reopou2022</v>
      </c>
      <c r="I213" s="20" t="str">
        <f t="shared" si="178"/>
        <v>RISCOS E OPORTUNIDADES PARA OS USUÁRIOS DAS FINANÇAS DESCENTRALIZADAS</v>
      </c>
      <c r="J213" s="20" t="str">
        <f t="shared" si="2"/>
        <v>DeFi</v>
      </c>
      <c r="K213" s="20"/>
      <c r="L213" s="20" t="str">
        <f t="shared" si="3"/>
        <v>defi</v>
      </c>
      <c r="M213" s="18"/>
      <c r="N213" s="21" t="str">
        <f>IFERROR(__xludf.DUMMYFUNCTION("""COMPUTED_VALUE""")," DeFi")</f>
        <v> DeFi</v>
      </c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</row>
    <row r="214">
      <c r="A214" s="22"/>
      <c r="B214" s="23"/>
      <c r="C214" s="24"/>
      <c r="D214" s="24"/>
      <c r="E214" s="18"/>
      <c r="F214" s="18"/>
      <c r="G214" s="25">
        <f t="shared" ref="G214:I214" si="179">G213</f>
        <v>2022</v>
      </c>
      <c r="H214" s="20" t="str">
        <f t="shared" si="179"/>
        <v>reopou2022</v>
      </c>
      <c r="I214" s="20" t="str">
        <f t="shared" si="179"/>
        <v>RISCOS E OPORTUNIDADES PARA OS USUÁRIOS DAS FINANÇAS DESCENTRALIZADAS</v>
      </c>
      <c r="J214" s="20" t="str">
        <f t="shared" si="2"/>
        <v>Riscos</v>
      </c>
      <c r="K214" s="20"/>
      <c r="L214" s="20" t="str">
        <f t="shared" si="3"/>
        <v>riscos</v>
      </c>
      <c r="M214" s="18"/>
      <c r="N214" s="21" t="str">
        <f>IFERROR(__xludf.DUMMYFUNCTION("""COMPUTED_VALUE""")," Riscos")</f>
        <v> Riscos</v>
      </c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</row>
    <row r="215">
      <c r="A215" s="22"/>
      <c r="B215" s="23"/>
      <c r="C215" s="24"/>
      <c r="D215" s="24"/>
      <c r="E215" s="18"/>
      <c r="F215" s="18"/>
      <c r="G215" s="25">
        <f t="shared" ref="G215:I215" si="180">G214</f>
        <v>2022</v>
      </c>
      <c r="H215" s="20" t="str">
        <f t="shared" si="180"/>
        <v>reopou2022</v>
      </c>
      <c r="I215" s="20" t="str">
        <f t="shared" si="180"/>
        <v>RISCOS E OPORTUNIDADES PARA OS USUÁRIOS DAS FINANÇAS DESCENTRALIZADAS</v>
      </c>
      <c r="J215" s="20" t="str">
        <f t="shared" si="2"/>
        <v>Oportunidades</v>
      </c>
      <c r="K215" s="20"/>
      <c r="L215" s="20" t="str">
        <f t="shared" si="3"/>
        <v>oportunidades</v>
      </c>
      <c r="M215" s="18"/>
      <c r="N215" s="21" t="str">
        <f>IFERROR(__xludf.DUMMYFUNCTION("""COMPUTED_VALUE""")," Oportunidades")</f>
        <v> Oportunidades</v>
      </c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</row>
    <row r="216">
      <c r="A216" s="22"/>
      <c r="B216" s="23"/>
      <c r="C216" s="24"/>
      <c r="D216" s="24"/>
      <c r="E216" s="18"/>
      <c r="F216" s="18"/>
      <c r="G216" s="25">
        <f t="shared" ref="G216:I216" si="181">G215</f>
        <v>2022</v>
      </c>
      <c r="H216" s="20" t="str">
        <f t="shared" si="181"/>
        <v>reopou2022</v>
      </c>
      <c r="I216" s="20" t="str">
        <f t="shared" si="181"/>
        <v>RISCOS E OPORTUNIDADES PARA OS USUÁRIOS DAS FINANÇAS DESCENTRALIZADAS</v>
      </c>
      <c r="J216" s="20" t="str">
        <f t="shared" si="2"/>
        <v>Usuários</v>
      </c>
      <c r="K216" s="20"/>
      <c r="L216" s="20" t="str">
        <f t="shared" si="3"/>
        <v>usuários</v>
      </c>
      <c r="M216" s="18"/>
      <c r="N216" s="21" t="str">
        <f>IFERROR(__xludf.DUMMYFUNCTION("""COMPUTED_VALUE""")," Usuários")</f>
        <v> Usuários</v>
      </c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</row>
    <row r="217">
      <c r="A217" s="8"/>
      <c r="B217" s="9"/>
      <c r="C217" s="10"/>
      <c r="D217" s="10"/>
      <c r="E217" s="18"/>
      <c r="F217" s="18"/>
      <c r="G217" s="25">
        <f t="shared" ref="G217:I217" si="182">G216</f>
        <v>2022</v>
      </c>
      <c r="H217" s="20" t="str">
        <f t="shared" si="182"/>
        <v>reopou2022</v>
      </c>
      <c r="I217" s="20" t="str">
        <f t="shared" si="182"/>
        <v>RISCOS E OPORTUNIDADES PARA OS USUÁRIOS DAS FINANÇAS DESCENTRALIZADAS</v>
      </c>
      <c r="J217" s="20" t="str">
        <f t="shared" si="2"/>
        <v/>
      </c>
      <c r="K217" s="20"/>
      <c r="L217" s="20" t="str">
        <f t="shared" si="3"/>
        <v/>
      </c>
      <c r="M217" s="18"/>
      <c r="N217" s="21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</row>
    <row r="218">
      <c r="A218" s="8" t="s">
        <v>54</v>
      </c>
      <c r="B218" s="9">
        <v>2022.0</v>
      </c>
      <c r="C218" s="10" t="s">
        <v>127</v>
      </c>
      <c r="D218" s="10" t="s">
        <v>128</v>
      </c>
      <c r="E218" s="18"/>
      <c r="F218" s="18"/>
      <c r="G218" s="12">
        <f>B218</f>
        <v>2022</v>
      </c>
      <c r="H218" s="13" t="str">
        <f>LOWER(left(O218,1)&amp;left(P218,1)&amp;left(Q218,1)&amp;left(R218,1)&amp;left(S218,1)&amp;left(T218,1))&amp;G218</f>
        <v>temddr2022</v>
      </c>
      <c r="I218" s="20" t="str">
        <f>trim(C218)</f>
        <v>TERMOS EM MOVIMENTO: Dinâmica da rede temática no projeto Biblioteca Comum</v>
      </c>
      <c r="J218" s="20" t="str">
        <f t="shared" si="2"/>
        <v>Dinâmica de Redes Temáticas</v>
      </c>
      <c r="K218" s="20"/>
      <c r="L218" s="20" t="str">
        <f t="shared" si="3"/>
        <v>dinâmica de redes temáticas</v>
      </c>
      <c r="M218" s="18"/>
      <c r="N218" s="21" t="str">
        <f>IFERROR(__xludf.DUMMYFUNCTION("TRANSPOSE(split(D218,"";"",true,true))"),"Dinâmica de Redes Temáticas")</f>
        <v>Dinâmica de Redes Temáticas</v>
      </c>
      <c r="O218" s="6" t="str">
        <f>IFERROR(__xludf.DUMMYFUNCTION("split(C218,"" "")"),"TERMOS")</f>
        <v>TERMOS</v>
      </c>
      <c r="P218" s="18" t="str">
        <f>IFERROR(__xludf.DUMMYFUNCTION("""COMPUTED_VALUE"""),"EM")</f>
        <v>EM</v>
      </c>
      <c r="Q218" s="18" t="str">
        <f>IFERROR(__xludf.DUMMYFUNCTION("""COMPUTED_VALUE"""),"MOVIMENTO:")</f>
        <v>MOVIMENTO:</v>
      </c>
      <c r="R218" s="18" t="str">
        <f>IFERROR(__xludf.DUMMYFUNCTION("""COMPUTED_VALUE"""),"Dinâmica")</f>
        <v>Dinâmica</v>
      </c>
      <c r="S218" s="18" t="str">
        <f>IFERROR(__xludf.DUMMYFUNCTION("""COMPUTED_VALUE"""),"da")</f>
        <v>da</v>
      </c>
      <c r="T218" s="18" t="str">
        <f>IFERROR(__xludf.DUMMYFUNCTION("""COMPUTED_VALUE"""),"rede")</f>
        <v>rede</v>
      </c>
      <c r="U218" s="18" t="str">
        <f>IFERROR(__xludf.DUMMYFUNCTION("""COMPUTED_VALUE"""),"temática")</f>
        <v>temática</v>
      </c>
      <c r="V218" s="18" t="str">
        <f>IFERROR(__xludf.DUMMYFUNCTION("""COMPUTED_VALUE"""),"no")</f>
        <v>no</v>
      </c>
      <c r="W218" s="18" t="str">
        <f>IFERROR(__xludf.DUMMYFUNCTION("""COMPUTED_VALUE"""),"projeto")</f>
        <v>projeto</v>
      </c>
      <c r="X218" s="18" t="str">
        <f>IFERROR(__xludf.DUMMYFUNCTION("""COMPUTED_VALUE"""),"Biblioteca")</f>
        <v>Biblioteca</v>
      </c>
      <c r="Y218" s="18" t="str">
        <f>IFERROR(__xludf.DUMMYFUNCTION("""COMPUTED_VALUE"""),"Comum")</f>
        <v>Comum</v>
      </c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</row>
    <row r="219">
      <c r="A219" s="22"/>
      <c r="B219" s="23"/>
      <c r="C219" s="24"/>
      <c r="D219" s="24"/>
      <c r="E219" s="18"/>
      <c r="F219" s="18"/>
      <c r="G219" s="25">
        <f t="shared" ref="G219:I219" si="183">G218</f>
        <v>2022</v>
      </c>
      <c r="H219" s="20" t="str">
        <f t="shared" si="183"/>
        <v>temddr2022</v>
      </c>
      <c r="I219" s="20" t="str">
        <f t="shared" si="183"/>
        <v>TERMOS EM MOVIMENTO: Dinâmica da rede temática no projeto Biblioteca Comum</v>
      </c>
      <c r="J219" s="20" t="str">
        <f t="shared" si="2"/>
        <v>Recursos Educacionais Abertos</v>
      </c>
      <c r="K219" s="20"/>
      <c r="L219" s="20" t="str">
        <f t="shared" si="3"/>
        <v>recursos educacionais abertos</v>
      </c>
      <c r="M219" s="18"/>
      <c r="N219" s="21" t="str">
        <f>IFERROR(__xludf.DUMMYFUNCTION("""COMPUTED_VALUE""")," Recursos Educacionais Abertos")</f>
        <v> Recursos Educacionais Abertos</v>
      </c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</row>
    <row r="220">
      <c r="A220" s="22"/>
      <c r="B220" s="23"/>
      <c r="C220" s="24"/>
      <c r="D220" s="24"/>
      <c r="E220" s="18"/>
      <c r="F220" s="18"/>
      <c r="G220" s="25">
        <f t="shared" ref="G220:I220" si="184">G219</f>
        <v>2022</v>
      </c>
      <c r="H220" s="20" t="str">
        <f t="shared" si="184"/>
        <v>temddr2022</v>
      </c>
      <c r="I220" s="20" t="str">
        <f t="shared" si="184"/>
        <v>TERMOS EM MOVIMENTO: Dinâmica da rede temática no projeto Biblioteca Comum</v>
      </c>
      <c r="J220" s="20" t="str">
        <f t="shared" si="2"/>
        <v>Projeto Biblioteca Comum</v>
      </c>
      <c r="K220" s="20"/>
      <c r="L220" s="20" t="str">
        <f t="shared" si="3"/>
        <v>projeto biblioteca comum</v>
      </c>
      <c r="M220" s="18"/>
      <c r="N220" s="21" t="str">
        <f>IFERROR(__xludf.DUMMYFUNCTION("""COMPUTED_VALUE""")," Projeto Biblioteca Comum")</f>
        <v> Projeto Biblioteca Comum</v>
      </c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</row>
    <row r="221">
      <c r="A221" s="22"/>
      <c r="B221" s="23"/>
      <c r="C221" s="24"/>
      <c r="D221" s="24"/>
      <c r="E221" s="18"/>
      <c r="F221" s="18"/>
      <c r="G221" s="25">
        <f t="shared" ref="G221:I221" si="185">G220</f>
        <v>2022</v>
      </c>
      <c r="H221" s="20" t="str">
        <f t="shared" si="185"/>
        <v>temddr2022</v>
      </c>
      <c r="I221" s="20" t="str">
        <f t="shared" si="185"/>
        <v>TERMOS EM MOVIMENTO: Dinâmica da rede temática no projeto Biblioteca Comum</v>
      </c>
      <c r="J221" s="20" t="str">
        <f t="shared" si="2"/>
        <v/>
      </c>
      <c r="K221" s="20"/>
      <c r="L221" s="20" t="str">
        <f t="shared" si="3"/>
        <v/>
      </c>
      <c r="M221" s="18"/>
      <c r="N221" s="21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</row>
    <row r="222">
      <c r="A222" s="22"/>
      <c r="B222" s="23"/>
      <c r="C222" s="24"/>
      <c r="D222" s="24"/>
      <c r="E222" s="18"/>
      <c r="F222" s="18"/>
      <c r="G222" s="25">
        <f t="shared" ref="G222:I222" si="186">G221</f>
        <v>2022</v>
      </c>
      <c r="H222" s="20" t="str">
        <f t="shared" si="186"/>
        <v>temddr2022</v>
      </c>
      <c r="I222" s="20" t="str">
        <f t="shared" si="186"/>
        <v>TERMOS EM MOVIMENTO: Dinâmica da rede temática no projeto Biblioteca Comum</v>
      </c>
      <c r="J222" s="20" t="str">
        <f t="shared" si="2"/>
        <v/>
      </c>
      <c r="K222" s="20"/>
      <c r="L222" s="20" t="str">
        <f t="shared" si="3"/>
        <v/>
      </c>
      <c r="M222" s="18"/>
      <c r="N222" s="21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</row>
    <row r="223">
      <c r="A223" s="8"/>
      <c r="B223" s="9"/>
      <c r="C223" s="10"/>
      <c r="D223" s="10"/>
      <c r="E223" s="18"/>
      <c r="F223" s="18"/>
      <c r="G223" s="25">
        <f t="shared" ref="G223:I223" si="187">G222</f>
        <v>2022</v>
      </c>
      <c r="H223" s="20" t="str">
        <f t="shared" si="187"/>
        <v>temddr2022</v>
      </c>
      <c r="I223" s="20" t="str">
        <f t="shared" si="187"/>
        <v>TERMOS EM MOVIMENTO: Dinâmica da rede temática no projeto Biblioteca Comum</v>
      </c>
      <c r="J223" s="20" t="str">
        <f t="shared" si="2"/>
        <v/>
      </c>
      <c r="K223" s="20"/>
      <c r="L223" s="20" t="str">
        <f t="shared" si="3"/>
        <v/>
      </c>
      <c r="M223" s="18"/>
      <c r="N223" s="21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</row>
    <row r="224">
      <c r="A224" s="8" t="s">
        <v>54</v>
      </c>
      <c r="B224" s="9">
        <v>2019.0</v>
      </c>
      <c r="C224" s="10" t="s">
        <v>129</v>
      </c>
      <c r="D224" s="10" t="s">
        <v>130</v>
      </c>
      <c r="E224" s="18"/>
      <c r="F224" s="18"/>
      <c r="G224" s="12">
        <f>B224</f>
        <v>2019</v>
      </c>
      <c r="H224" s="13" t="str">
        <f>LOWER(left(O224,1)&amp;left(P224,1)&amp;left(Q224,1)&amp;left(R224,1)&amp;left(S224,1)&amp;left(T224,1))&amp;G224</f>
        <v>acddcn2019</v>
      </c>
      <c r="I224" s="20" t="str">
        <f>trim(C224)</f>
        <v>A CURADORIA DE DADOS CIENTÍFICOS NA CIÊNCIA DA INFORMAÇÃO: LEVANTAMENTO DO CENÁRIO NACIONAL</v>
      </c>
      <c r="J224" s="20" t="str">
        <f t="shared" si="2"/>
        <v>Curadoria Digital</v>
      </c>
      <c r="K224" s="20"/>
      <c r="L224" s="20" t="str">
        <f t="shared" si="3"/>
        <v>curadoria digital</v>
      </c>
      <c r="M224" s="18"/>
      <c r="N224" s="21" t="str">
        <f>IFERROR(__xludf.DUMMYFUNCTION("TRANSPOSE(split(D224,"";"",true,true))"),"Curadoria Digital")</f>
        <v>Curadoria Digital</v>
      </c>
      <c r="O224" s="6" t="str">
        <f>IFERROR(__xludf.DUMMYFUNCTION("split(C224,"" "")"),"A")</f>
        <v>A</v>
      </c>
      <c r="P224" s="18" t="str">
        <f>IFERROR(__xludf.DUMMYFUNCTION("""COMPUTED_VALUE"""),"CURADORIA")</f>
        <v>CURADORIA</v>
      </c>
      <c r="Q224" s="18" t="str">
        <f>IFERROR(__xludf.DUMMYFUNCTION("""COMPUTED_VALUE"""),"DE")</f>
        <v>DE</v>
      </c>
      <c r="R224" s="18" t="str">
        <f>IFERROR(__xludf.DUMMYFUNCTION("""COMPUTED_VALUE"""),"DADOS")</f>
        <v>DADOS</v>
      </c>
      <c r="S224" s="18" t="str">
        <f>IFERROR(__xludf.DUMMYFUNCTION("""COMPUTED_VALUE"""),"CIENTÍFICOS")</f>
        <v>CIENTÍFICOS</v>
      </c>
      <c r="T224" s="18" t="str">
        <f>IFERROR(__xludf.DUMMYFUNCTION("""COMPUTED_VALUE"""),"NA")</f>
        <v>NA</v>
      </c>
      <c r="U224" s="18" t="str">
        <f>IFERROR(__xludf.DUMMYFUNCTION("""COMPUTED_VALUE"""),"CIÊNCIA")</f>
        <v>CIÊNCIA</v>
      </c>
      <c r="V224" s="18" t="str">
        <f>IFERROR(__xludf.DUMMYFUNCTION("""COMPUTED_VALUE"""),"DA")</f>
        <v>DA</v>
      </c>
      <c r="W224" s="18" t="str">
        <f>IFERROR(__xludf.DUMMYFUNCTION("""COMPUTED_VALUE"""),"INFORMAÇÃO:")</f>
        <v>INFORMAÇÃO:</v>
      </c>
      <c r="X224" s="18" t="str">
        <f>IFERROR(__xludf.DUMMYFUNCTION("""COMPUTED_VALUE"""),"LEVANTAMENTO")</f>
        <v>LEVANTAMENTO</v>
      </c>
      <c r="Y224" s="18" t="str">
        <f>IFERROR(__xludf.DUMMYFUNCTION("""COMPUTED_VALUE"""),"DO")</f>
        <v>DO</v>
      </c>
      <c r="Z224" s="18" t="str">
        <f>IFERROR(__xludf.DUMMYFUNCTION("""COMPUTED_VALUE"""),"CENÁRIO")</f>
        <v>CENÁRIO</v>
      </c>
      <c r="AA224" s="18" t="str">
        <f>IFERROR(__xludf.DUMMYFUNCTION("""COMPUTED_VALUE"""),"NACIONAL")</f>
        <v>NACIONAL</v>
      </c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</row>
    <row r="225">
      <c r="A225" s="22"/>
      <c r="B225" s="23"/>
      <c r="C225" s="24"/>
      <c r="D225" s="24"/>
      <c r="E225" s="18"/>
      <c r="F225" s="18"/>
      <c r="G225" s="25">
        <f t="shared" ref="G225:I225" si="188">G224</f>
        <v>2019</v>
      </c>
      <c r="H225" s="20" t="str">
        <f t="shared" si="188"/>
        <v>acddcn2019</v>
      </c>
      <c r="I225" s="20" t="str">
        <f t="shared" si="188"/>
        <v>A CURADORIA DE DADOS CIENTÍFICOS NA CIÊNCIA DA INFORMAÇÃO: LEVANTAMENTO DO CENÁRIO NACIONAL</v>
      </c>
      <c r="J225" s="20" t="str">
        <f t="shared" si="2"/>
        <v>Dados Científicos</v>
      </c>
      <c r="K225" s="20"/>
      <c r="L225" s="20" t="str">
        <f t="shared" si="3"/>
        <v>dados científicos</v>
      </c>
      <c r="M225" s="18"/>
      <c r="N225" s="21" t="str">
        <f>IFERROR(__xludf.DUMMYFUNCTION("""COMPUTED_VALUE""")," Dados Científicos")</f>
        <v> Dados Científicos</v>
      </c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</row>
    <row r="226">
      <c r="A226" s="22"/>
      <c r="B226" s="23"/>
      <c r="C226" s="24"/>
      <c r="D226" s="24"/>
      <c r="E226" s="18"/>
      <c r="F226" s="18"/>
      <c r="G226" s="25">
        <f t="shared" ref="G226:I226" si="189">G225</f>
        <v>2019</v>
      </c>
      <c r="H226" s="20" t="str">
        <f t="shared" si="189"/>
        <v>acddcn2019</v>
      </c>
      <c r="I226" s="20" t="str">
        <f t="shared" si="189"/>
        <v>A CURADORIA DE DADOS CIENTÍFICOS NA CIÊNCIA DA INFORMAÇÃO: LEVANTAMENTO DO CENÁRIO NACIONAL</v>
      </c>
      <c r="J226" s="20" t="str">
        <f t="shared" si="2"/>
        <v>e-Science</v>
      </c>
      <c r="K226" s="20"/>
      <c r="L226" s="20" t="str">
        <f t="shared" si="3"/>
        <v>e-science</v>
      </c>
      <c r="M226" s="18"/>
      <c r="N226" s="21" t="str">
        <f>IFERROR(__xludf.DUMMYFUNCTION("""COMPUTED_VALUE""")," e-Science")</f>
        <v> e-Science</v>
      </c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</row>
    <row r="227">
      <c r="A227" s="22"/>
      <c r="B227" s="23"/>
      <c r="C227" s="24"/>
      <c r="D227" s="24"/>
      <c r="E227" s="18"/>
      <c r="F227" s="18"/>
      <c r="G227" s="25">
        <f t="shared" ref="G227:I227" si="190">G226</f>
        <v>2019</v>
      </c>
      <c r="H227" s="20" t="str">
        <f t="shared" si="190"/>
        <v>acddcn2019</v>
      </c>
      <c r="I227" s="20" t="str">
        <f t="shared" si="190"/>
        <v>A CURADORIA DE DADOS CIENTÍFICOS NA CIÊNCIA DA INFORMAÇÃO: LEVANTAMENTO DO CENÁRIO NACIONAL</v>
      </c>
      <c r="J227" s="20" t="str">
        <f t="shared" si="2"/>
        <v>Profissional da Informação</v>
      </c>
      <c r="K227" s="20"/>
      <c r="L227" s="20" t="str">
        <f t="shared" si="3"/>
        <v>profissional da informação</v>
      </c>
      <c r="M227" s="18"/>
      <c r="N227" s="21" t="str">
        <f>IFERROR(__xludf.DUMMYFUNCTION("""COMPUTED_VALUE""")," Profissional da Informação")</f>
        <v> Profissional da Informação</v>
      </c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</row>
    <row r="228">
      <c r="A228" s="22"/>
      <c r="B228" s="23"/>
      <c r="C228" s="24"/>
      <c r="D228" s="24"/>
      <c r="E228" s="18"/>
      <c r="F228" s="18"/>
      <c r="G228" s="25">
        <f t="shared" ref="G228:I228" si="191">G227</f>
        <v>2019</v>
      </c>
      <c r="H228" s="20" t="str">
        <f t="shared" si="191"/>
        <v>acddcn2019</v>
      </c>
      <c r="I228" s="20" t="str">
        <f t="shared" si="191"/>
        <v>A CURADORIA DE DADOS CIENTÍFICOS NA CIÊNCIA DA INFORMAÇÃO: LEVANTAMENTO DO CENÁRIO NACIONAL</v>
      </c>
      <c r="J228" s="20" t="str">
        <f t="shared" si="2"/>
        <v/>
      </c>
      <c r="K228" s="20"/>
      <c r="L228" s="20" t="str">
        <f t="shared" si="3"/>
        <v/>
      </c>
      <c r="M228" s="18"/>
      <c r="N228" s="21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</row>
    <row r="229">
      <c r="A229" s="22"/>
      <c r="B229" s="23"/>
      <c r="C229" s="24"/>
      <c r="D229" s="24"/>
      <c r="E229" s="18"/>
      <c r="F229" s="18"/>
      <c r="G229" s="25">
        <f t="shared" ref="G229:I229" si="192">G228</f>
        <v>2019</v>
      </c>
      <c r="H229" s="20" t="str">
        <f t="shared" si="192"/>
        <v>acddcn2019</v>
      </c>
      <c r="I229" s="20" t="str">
        <f t="shared" si="192"/>
        <v>A CURADORIA DE DADOS CIENTÍFICOS NA CIÊNCIA DA INFORMAÇÃO: LEVANTAMENTO DO CENÁRIO NACIONAL</v>
      </c>
      <c r="J229" s="20" t="str">
        <f t="shared" si="2"/>
        <v/>
      </c>
      <c r="K229" s="20"/>
      <c r="L229" s="20" t="str">
        <f t="shared" si="3"/>
        <v/>
      </c>
      <c r="M229" s="18"/>
      <c r="N229" s="21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</row>
    <row r="230">
      <c r="A230" s="8" t="s">
        <v>54</v>
      </c>
      <c r="B230" s="29">
        <v>2019.0</v>
      </c>
      <c r="C230" s="10" t="s">
        <v>131</v>
      </c>
      <c r="D230" s="10" t="s">
        <v>132</v>
      </c>
      <c r="E230" s="18"/>
      <c r="F230" s="18"/>
      <c r="G230" s="12">
        <f>B230</f>
        <v>2019</v>
      </c>
      <c r="H230" s="13" t="str">
        <f>LOWER(left(O230,1)&amp;left(P230,1)&amp;left(Q230,1)&amp;left(R230,1)&amp;left(S230,1)&amp;left(T230,1))&amp;G230</f>
        <v>aqdieo2019</v>
      </c>
      <c r="I230" s="20" t="str">
        <f>trim(C230)</f>
        <v>A QUALIDADE DA INFORMAÇÃO EM ONTOLOGIAS TEMPORAIS NO CONTEXTO DE GERENCIAMENTO DE EMERGÊNCIAS</v>
      </c>
      <c r="J230" s="20" t="str">
        <f t="shared" si="2"/>
        <v>Qualidade da Informação</v>
      </c>
      <c r="K230" s="20"/>
      <c r="L230" s="20" t="str">
        <f t="shared" si="3"/>
        <v>qualidade da informação</v>
      </c>
      <c r="M230" s="18"/>
      <c r="N230" s="21" t="str">
        <f>IFERROR(__xludf.DUMMYFUNCTION("TRANSPOSE(split(D230,"";"",true,true))"),"Qualidade da Informação")</f>
        <v>Qualidade da Informação</v>
      </c>
      <c r="O230" s="6" t="str">
        <f>IFERROR(__xludf.DUMMYFUNCTION("split(C230,"" "")"),"A")</f>
        <v>A</v>
      </c>
      <c r="P230" s="18" t="str">
        <f>IFERROR(__xludf.DUMMYFUNCTION("""COMPUTED_VALUE"""),"QUALIDADE")</f>
        <v>QUALIDADE</v>
      </c>
      <c r="Q230" s="18" t="str">
        <f>IFERROR(__xludf.DUMMYFUNCTION("""COMPUTED_VALUE"""),"DA")</f>
        <v>DA</v>
      </c>
      <c r="R230" s="18" t="str">
        <f>IFERROR(__xludf.DUMMYFUNCTION("""COMPUTED_VALUE"""),"INFORMAÇÃO")</f>
        <v>INFORMAÇÃO</v>
      </c>
      <c r="S230" s="18" t="str">
        <f>IFERROR(__xludf.DUMMYFUNCTION("""COMPUTED_VALUE"""),"EM")</f>
        <v>EM</v>
      </c>
      <c r="T230" s="18" t="str">
        <f>IFERROR(__xludf.DUMMYFUNCTION("""COMPUTED_VALUE"""),"ONTOLOGIAS")</f>
        <v>ONTOLOGIAS</v>
      </c>
      <c r="U230" s="18" t="str">
        <f>IFERROR(__xludf.DUMMYFUNCTION("""COMPUTED_VALUE"""),"TEMPORAIS")</f>
        <v>TEMPORAIS</v>
      </c>
      <c r="V230" s="18" t="str">
        <f>IFERROR(__xludf.DUMMYFUNCTION("""COMPUTED_VALUE"""),"NO")</f>
        <v>NO</v>
      </c>
      <c r="W230" s="18" t="str">
        <f>IFERROR(__xludf.DUMMYFUNCTION("""COMPUTED_VALUE"""),"CONTEXTO")</f>
        <v>CONTEXTO</v>
      </c>
      <c r="X230" s="18" t="str">
        <f>IFERROR(__xludf.DUMMYFUNCTION("""COMPUTED_VALUE"""),"DE")</f>
        <v>DE</v>
      </c>
      <c r="Y230" s="18" t="str">
        <f>IFERROR(__xludf.DUMMYFUNCTION("""COMPUTED_VALUE"""),"GERENCIAMENTO")</f>
        <v>GERENCIAMENTO</v>
      </c>
      <c r="Z230" s="18" t="str">
        <f>IFERROR(__xludf.DUMMYFUNCTION("""COMPUTED_VALUE"""),"DE")</f>
        <v>DE</v>
      </c>
      <c r="AA230" s="18" t="str">
        <f>IFERROR(__xludf.DUMMYFUNCTION("""COMPUTED_VALUE"""),"EMERGÊNCIAS")</f>
        <v>EMERGÊNCIAS</v>
      </c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</row>
    <row r="231">
      <c r="A231" s="22"/>
      <c r="B231" s="23"/>
      <c r="C231" s="24"/>
      <c r="D231" s="24"/>
      <c r="E231" s="18"/>
      <c r="F231" s="18"/>
      <c r="G231" s="25">
        <f t="shared" ref="G231:I231" si="193">G230</f>
        <v>2019</v>
      </c>
      <c r="H231" s="20" t="str">
        <f t="shared" si="193"/>
        <v>aqdieo2019</v>
      </c>
      <c r="I231" s="20" t="str">
        <f t="shared" si="193"/>
        <v>A QUALIDADE DA INFORMAÇÃO EM ONTOLOGIAS TEMPORAIS NO CONTEXTO DE GERENCIAMENTO DE EMERGÊNCIAS</v>
      </c>
      <c r="J231" s="20" t="str">
        <f t="shared" si="2"/>
        <v>Ontologia</v>
      </c>
      <c r="K231" s="20"/>
      <c r="L231" s="20" t="str">
        <f t="shared" si="3"/>
        <v>ontologia</v>
      </c>
      <c r="M231" s="18"/>
      <c r="N231" s="21" t="str">
        <f>IFERROR(__xludf.DUMMYFUNCTION("""COMPUTED_VALUE""")," Ontologia")</f>
        <v> Ontologia</v>
      </c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</row>
    <row r="232">
      <c r="A232" s="22"/>
      <c r="B232" s="23"/>
      <c r="C232" s="24"/>
      <c r="D232" s="24"/>
      <c r="E232" s="18"/>
      <c r="F232" s="18"/>
      <c r="G232" s="25">
        <f t="shared" ref="G232:I232" si="194">G231</f>
        <v>2019</v>
      </c>
      <c r="H232" s="20" t="str">
        <f t="shared" si="194"/>
        <v>aqdieo2019</v>
      </c>
      <c r="I232" s="20" t="str">
        <f t="shared" si="194"/>
        <v>A QUALIDADE DA INFORMAÇÃO EM ONTOLOGIAS TEMPORAIS NO CONTEXTO DE GERENCIAMENTO DE EMERGÊNCIAS</v>
      </c>
      <c r="J232" s="20" t="str">
        <f t="shared" si="2"/>
        <v>Gerenciamento de Emergências</v>
      </c>
      <c r="K232" s="20"/>
      <c r="L232" s="20" t="str">
        <f t="shared" si="3"/>
        <v>gerenciamento de emergências</v>
      </c>
      <c r="M232" s="18"/>
      <c r="N232" s="21" t="str">
        <f>IFERROR(__xludf.DUMMYFUNCTION("""COMPUTED_VALUE""")," Gerenciamento de Emergências")</f>
        <v> Gerenciamento de Emergências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</row>
    <row r="233">
      <c r="A233" s="22"/>
      <c r="B233" s="23"/>
      <c r="C233" s="24"/>
      <c r="D233" s="24"/>
      <c r="E233" s="18"/>
      <c r="F233" s="18"/>
      <c r="G233" s="25">
        <f t="shared" ref="G233:I233" si="195">G232</f>
        <v>2019</v>
      </c>
      <c r="H233" s="20" t="str">
        <f t="shared" si="195"/>
        <v>aqdieo2019</v>
      </c>
      <c r="I233" s="20" t="str">
        <f t="shared" si="195"/>
        <v>A QUALIDADE DA INFORMAÇÃO EM ONTOLOGIAS TEMPORAIS NO CONTEXTO DE GERENCIAMENTO DE EMERGÊNCIAS</v>
      </c>
      <c r="J233" s="20" t="str">
        <f t="shared" si="2"/>
        <v>Recuperação da Informação</v>
      </c>
      <c r="K233" s="20"/>
      <c r="L233" s="20" t="str">
        <f t="shared" si="3"/>
        <v>recuperação da informação</v>
      </c>
      <c r="M233" s="18"/>
      <c r="N233" s="21" t="str">
        <f>IFERROR(__xludf.DUMMYFUNCTION("""COMPUTED_VALUE""")," Recuperação da Informação")</f>
        <v> Recuperação da Informação</v>
      </c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</row>
    <row r="234">
      <c r="A234" s="22"/>
      <c r="B234" s="23"/>
      <c r="C234" s="24"/>
      <c r="D234" s="24"/>
      <c r="E234" s="18"/>
      <c r="F234" s="18"/>
      <c r="G234" s="25">
        <f t="shared" ref="G234:I234" si="196">G233</f>
        <v>2019</v>
      </c>
      <c r="H234" s="20" t="str">
        <f t="shared" si="196"/>
        <v>aqdieo2019</v>
      </c>
      <c r="I234" s="20" t="str">
        <f t="shared" si="196"/>
        <v>A QUALIDADE DA INFORMAÇÃO EM ONTOLOGIAS TEMPORAIS NO CONTEXTO DE GERENCIAMENTO DE EMERGÊNCIAS</v>
      </c>
      <c r="J234" s="20" t="str">
        <f t="shared" si="2"/>
        <v/>
      </c>
      <c r="K234" s="20"/>
      <c r="L234" s="20" t="str">
        <f t="shared" si="3"/>
        <v/>
      </c>
      <c r="M234" s="18"/>
      <c r="N234" s="21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</row>
    <row r="235">
      <c r="A235" s="8"/>
      <c r="B235" s="23"/>
      <c r="C235" s="24"/>
      <c r="D235" s="24"/>
      <c r="E235" s="18"/>
      <c r="F235" s="18"/>
      <c r="G235" s="25">
        <f t="shared" ref="G235:I235" si="197">G234</f>
        <v>2019</v>
      </c>
      <c r="H235" s="20" t="str">
        <f t="shared" si="197"/>
        <v>aqdieo2019</v>
      </c>
      <c r="I235" s="20" t="str">
        <f t="shared" si="197"/>
        <v>A QUALIDADE DA INFORMAÇÃO EM ONTOLOGIAS TEMPORAIS NO CONTEXTO DE GERENCIAMENTO DE EMERGÊNCIAS</v>
      </c>
      <c r="J235" s="20" t="str">
        <f t="shared" si="2"/>
        <v/>
      </c>
      <c r="K235" s="20"/>
      <c r="L235" s="20" t="str">
        <f t="shared" si="3"/>
        <v/>
      </c>
      <c r="M235" s="18"/>
      <c r="N235" s="21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</row>
    <row r="236">
      <c r="A236" s="8" t="s">
        <v>54</v>
      </c>
      <c r="B236" s="29">
        <v>2019.0</v>
      </c>
      <c r="C236" s="10" t="s">
        <v>133</v>
      </c>
      <c r="D236" s="10" t="s">
        <v>134</v>
      </c>
      <c r="E236" s="18"/>
      <c r="F236" s="18"/>
      <c r="G236" s="12">
        <f>B236</f>
        <v>2019</v>
      </c>
      <c r="H236" s="13" t="str">
        <f>LOWER(left(O236,1)&amp;left(P236,1)&amp;left(Q236,1)&amp;left(R236,1)&amp;left(S236,1)&amp;left(T236,1))&amp;G236</f>
        <v>addpgd2019</v>
      </c>
      <c r="I236" s="20" t="str">
        <f>trim(C236)</f>
        <v>ANOTAÇÃO DE DADOS PARA GERAÇÃO DE INDICADORES DE DESEMPENHO EM ORGANIZAÇÕES</v>
      </c>
      <c r="J236" s="20" t="str">
        <f t="shared" si="2"/>
        <v>Modelos Dimensionais</v>
      </c>
      <c r="K236" s="30"/>
      <c r="L236" s="20" t="str">
        <f t="shared" si="3"/>
        <v>modelos dimensionais</v>
      </c>
      <c r="M236" s="18"/>
      <c r="N236" s="21" t="str">
        <f>IFERROR(__xludf.DUMMYFUNCTION("TRANSPOSE(split(D236,"";"",true,true))"),"Modelos Dimensionais")</f>
        <v>Modelos Dimensionais</v>
      </c>
      <c r="O236" s="6" t="str">
        <f>IFERROR(__xludf.DUMMYFUNCTION("split(C236,"" "")"),"ANOTAÇÃO")</f>
        <v>ANOTAÇÃO</v>
      </c>
      <c r="P236" s="18" t="str">
        <f>IFERROR(__xludf.DUMMYFUNCTION("""COMPUTED_VALUE"""),"DE")</f>
        <v>DE</v>
      </c>
      <c r="Q236" s="18" t="str">
        <f>IFERROR(__xludf.DUMMYFUNCTION("""COMPUTED_VALUE"""),"DADOS")</f>
        <v>DADOS</v>
      </c>
      <c r="R236" s="18" t="str">
        <f>IFERROR(__xludf.DUMMYFUNCTION("""COMPUTED_VALUE"""),"PARA")</f>
        <v>PARA</v>
      </c>
      <c r="S236" s="18" t="str">
        <f>IFERROR(__xludf.DUMMYFUNCTION("""COMPUTED_VALUE"""),"GERAÇÃO")</f>
        <v>GERAÇÃO</v>
      </c>
      <c r="T236" s="18" t="str">
        <f>IFERROR(__xludf.DUMMYFUNCTION("""COMPUTED_VALUE"""),"DE")</f>
        <v>DE</v>
      </c>
      <c r="U236" s="18" t="str">
        <f>IFERROR(__xludf.DUMMYFUNCTION("""COMPUTED_VALUE"""),"INDICADORES")</f>
        <v>INDICADORES</v>
      </c>
      <c r="V236" s="18" t="str">
        <f>IFERROR(__xludf.DUMMYFUNCTION("""COMPUTED_VALUE"""),"DE")</f>
        <v>DE</v>
      </c>
      <c r="W236" s="18" t="str">
        <f>IFERROR(__xludf.DUMMYFUNCTION("""COMPUTED_VALUE"""),"DESEMPENHO")</f>
        <v>DESEMPENHO</v>
      </c>
      <c r="X236" s="18" t="str">
        <f>IFERROR(__xludf.DUMMYFUNCTION("""COMPUTED_VALUE"""),"EM")</f>
        <v>EM</v>
      </c>
      <c r="Y236" s="18" t="str">
        <f>IFERROR(__xludf.DUMMYFUNCTION("""COMPUTED_VALUE"""),"ORGANIZAÇÕES")</f>
        <v>ORGANIZAÇÕES</v>
      </c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</row>
    <row r="237">
      <c r="A237" s="22"/>
      <c r="B237" s="23"/>
      <c r="C237" s="24"/>
      <c r="D237" s="24"/>
      <c r="E237" s="18"/>
      <c r="F237" s="18"/>
      <c r="G237" s="25">
        <f t="shared" ref="G237:I237" si="198">G236</f>
        <v>2019</v>
      </c>
      <c r="H237" s="20" t="str">
        <f t="shared" si="198"/>
        <v>addpgd2019</v>
      </c>
      <c r="I237" s="20" t="str">
        <f t="shared" si="198"/>
        <v>ANOTAÇÃO DE DADOS PARA GERAÇÃO DE INDICADORES DE DESEMPENHO EM ORGANIZAÇÕES</v>
      </c>
      <c r="J237" s="20" t="str">
        <f t="shared" si="2"/>
        <v>Indicadores de Desempenho</v>
      </c>
      <c r="K237" s="30"/>
      <c r="L237" s="20" t="str">
        <f t="shared" si="3"/>
        <v>indicadores de desempenho</v>
      </c>
      <c r="M237" s="18"/>
      <c r="N237" s="21" t="str">
        <f>IFERROR(__xludf.DUMMYFUNCTION("""COMPUTED_VALUE""")," Indicadores de Desempenho")</f>
        <v> Indicadores de Desempenho</v>
      </c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</row>
    <row r="238">
      <c r="A238" s="22"/>
      <c r="B238" s="23"/>
      <c r="C238" s="24"/>
      <c r="D238" s="24"/>
      <c r="E238" s="18"/>
      <c r="F238" s="18"/>
      <c r="G238" s="25">
        <f t="shared" ref="G238:I238" si="199">G237</f>
        <v>2019</v>
      </c>
      <c r="H238" s="20" t="str">
        <f t="shared" si="199"/>
        <v>addpgd2019</v>
      </c>
      <c r="I238" s="20" t="str">
        <f t="shared" si="199"/>
        <v>ANOTAÇÃO DE DADOS PARA GERAÇÃO DE INDICADORES DE DESEMPENHO EM ORGANIZAÇÕES</v>
      </c>
      <c r="J238" s="20" t="str">
        <f t="shared" si="2"/>
        <v>KPI</v>
      </c>
      <c r="K238" s="30"/>
      <c r="L238" s="20" t="str">
        <f t="shared" si="3"/>
        <v>kpi</v>
      </c>
      <c r="M238" s="18"/>
      <c r="N238" s="21" t="str">
        <f>IFERROR(__xludf.DUMMYFUNCTION("""COMPUTED_VALUE""")," KPI")</f>
        <v> KPI</v>
      </c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</row>
    <row r="239">
      <c r="A239" s="22"/>
      <c r="B239" s="23"/>
      <c r="C239" s="24"/>
      <c r="D239" s="24"/>
      <c r="E239" s="18"/>
      <c r="F239" s="18"/>
      <c r="G239" s="25">
        <f t="shared" ref="G239:I239" si="200">G238</f>
        <v>2019</v>
      </c>
      <c r="H239" s="20" t="str">
        <f t="shared" si="200"/>
        <v>addpgd2019</v>
      </c>
      <c r="I239" s="20" t="str">
        <f t="shared" si="200"/>
        <v>ANOTAÇÃO DE DADOS PARA GERAÇÃO DE INDICADORES DE DESEMPENHO EM ORGANIZAÇÕES</v>
      </c>
      <c r="J239" s="20" t="str">
        <f t="shared" si="2"/>
        <v>Dicionário de Dados</v>
      </c>
      <c r="K239" s="30"/>
      <c r="L239" s="20" t="str">
        <f t="shared" si="3"/>
        <v>dicionário de dados</v>
      </c>
      <c r="M239" s="18"/>
      <c r="N239" s="21" t="str">
        <f>IFERROR(__xludf.DUMMYFUNCTION("""COMPUTED_VALUE""")," Dicionário de Dados")</f>
        <v> Dicionário de Dados</v>
      </c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</row>
    <row r="240">
      <c r="A240" s="22"/>
      <c r="B240" s="23"/>
      <c r="C240" s="24"/>
      <c r="D240" s="24"/>
      <c r="E240" s="18"/>
      <c r="F240" s="18"/>
      <c r="G240" s="25">
        <f t="shared" ref="G240:I240" si="201">G239</f>
        <v>2019</v>
      </c>
      <c r="H240" s="20" t="str">
        <f t="shared" si="201"/>
        <v>addpgd2019</v>
      </c>
      <c r="I240" s="20" t="str">
        <f t="shared" si="201"/>
        <v>ANOTAÇÃO DE DADOS PARA GERAÇÃO DE INDICADORES DE DESEMPENHO EM ORGANIZAÇÕES</v>
      </c>
      <c r="J240" s="20" t="str">
        <f t="shared" si="2"/>
        <v>Ontologia</v>
      </c>
      <c r="K240" s="30"/>
      <c r="L240" s="20" t="str">
        <f t="shared" si="3"/>
        <v>ontologia</v>
      </c>
      <c r="M240" s="18"/>
      <c r="N240" s="21" t="str">
        <f>IFERROR(__xludf.DUMMYFUNCTION("""COMPUTED_VALUE""")," Ontologia")</f>
        <v> Ontologia</v>
      </c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</row>
    <row r="241">
      <c r="A241" s="8"/>
      <c r="B241" s="23"/>
      <c r="C241" s="24"/>
      <c r="D241" s="24"/>
      <c r="E241" s="18"/>
      <c r="F241" s="18"/>
      <c r="G241" s="25">
        <f t="shared" ref="G241:I241" si="202">G240</f>
        <v>2019</v>
      </c>
      <c r="H241" s="20" t="str">
        <f t="shared" si="202"/>
        <v>addpgd2019</v>
      </c>
      <c r="I241" s="20" t="str">
        <f t="shared" si="202"/>
        <v>ANOTAÇÃO DE DADOS PARA GERAÇÃO DE INDICADORES DE DESEMPENHO EM ORGANIZAÇÕES</v>
      </c>
      <c r="J241" s="20" t="str">
        <f t="shared" si="2"/>
        <v>Anotação Semântica</v>
      </c>
      <c r="K241" s="30"/>
      <c r="L241" s="20" t="str">
        <f t="shared" si="3"/>
        <v>anotação semântica</v>
      </c>
      <c r="M241" s="18"/>
      <c r="N241" s="21" t="str">
        <f>IFERROR(__xludf.DUMMYFUNCTION("""COMPUTED_VALUE""")," Anotação Semântica")</f>
        <v> Anotação Semântica</v>
      </c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</row>
    <row r="242">
      <c r="A242" s="8" t="s">
        <v>54</v>
      </c>
      <c r="B242" s="29">
        <v>2019.0</v>
      </c>
      <c r="C242" s="10" t="s">
        <v>135</v>
      </c>
      <c r="D242" s="10" t="s">
        <v>136</v>
      </c>
      <c r="E242" s="18"/>
      <c r="F242" s="18"/>
      <c r="G242" s="12">
        <f>B242</f>
        <v>2019</v>
      </c>
      <c r="H242" s="13" t="str">
        <f>LOWER(left(O242,1)&amp;left(P242,1)&amp;left(Q242,1)&amp;left(R242,1)&amp;left(S242,1)&amp;left(T242,1))&amp;G242</f>
        <v>admpdd2019</v>
      </c>
      <c r="I242" s="20" t="str">
        <f>trim(C242)</f>
        <v>APLICAÇÃO DE MÉTRICAS PARA DESTAQUE DE ENTIDADES NA ANÁLISE DE GRAFOS</v>
      </c>
      <c r="J242" s="20" t="str">
        <f t="shared" si="2"/>
        <v>Lavagem de Dinheiro</v>
      </c>
      <c r="K242" s="20"/>
      <c r="L242" s="20" t="str">
        <f t="shared" si="3"/>
        <v>lavagem de dinheiro</v>
      </c>
      <c r="M242" s="18"/>
      <c r="N242" s="21" t="str">
        <f>IFERROR(__xludf.DUMMYFUNCTION("TRANSPOSE(split(D242,"";"",true,true))"),"Lavagem de Dinheiro")</f>
        <v>Lavagem de Dinheiro</v>
      </c>
      <c r="O242" s="6" t="str">
        <f>IFERROR(__xludf.DUMMYFUNCTION("split(C242,"" "")"),"APLICAÇÃO")</f>
        <v>APLICAÇÃO</v>
      </c>
      <c r="P242" s="18" t="str">
        <f>IFERROR(__xludf.DUMMYFUNCTION("""COMPUTED_VALUE"""),"DE")</f>
        <v>DE</v>
      </c>
      <c r="Q242" s="18" t="str">
        <f>IFERROR(__xludf.DUMMYFUNCTION("""COMPUTED_VALUE"""),"MÉTRICAS")</f>
        <v>MÉTRICAS</v>
      </c>
      <c r="R242" s="18" t="str">
        <f>IFERROR(__xludf.DUMMYFUNCTION("""COMPUTED_VALUE"""),"PARA")</f>
        <v>PARA</v>
      </c>
      <c r="S242" s="18" t="str">
        <f>IFERROR(__xludf.DUMMYFUNCTION("""COMPUTED_VALUE"""),"DESTAQUE")</f>
        <v>DESTAQUE</v>
      </c>
      <c r="T242" s="18" t="str">
        <f>IFERROR(__xludf.DUMMYFUNCTION("""COMPUTED_VALUE"""),"DE")</f>
        <v>DE</v>
      </c>
      <c r="U242" s="18" t="str">
        <f>IFERROR(__xludf.DUMMYFUNCTION("""COMPUTED_VALUE"""),"ENTIDADES")</f>
        <v>ENTIDADES</v>
      </c>
      <c r="V242" s="18" t="str">
        <f>IFERROR(__xludf.DUMMYFUNCTION("""COMPUTED_VALUE"""),"NA")</f>
        <v>NA</v>
      </c>
      <c r="W242" s="18" t="str">
        <f>IFERROR(__xludf.DUMMYFUNCTION("""COMPUTED_VALUE"""),"ANÁLISE")</f>
        <v>ANÁLISE</v>
      </c>
      <c r="X242" s="18" t="str">
        <f>IFERROR(__xludf.DUMMYFUNCTION("""COMPUTED_VALUE"""),"DE")</f>
        <v>DE</v>
      </c>
      <c r="Y242" s="18" t="str">
        <f>IFERROR(__xludf.DUMMYFUNCTION("""COMPUTED_VALUE"""),"GRAFOS")</f>
        <v>GRAFOS</v>
      </c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</row>
    <row r="243">
      <c r="A243" s="22"/>
      <c r="B243" s="23"/>
      <c r="C243" s="24"/>
      <c r="D243" s="24"/>
      <c r="E243" s="18"/>
      <c r="F243" s="18"/>
      <c r="G243" s="25">
        <f t="shared" ref="G243:I243" si="203">G242</f>
        <v>2019</v>
      </c>
      <c r="H243" s="20" t="str">
        <f t="shared" si="203"/>
        <v>admpdd2019</v>
      </c>
      <c r="I243" s="20" t="str">
        <f t="shared" si="203"/>
        <v>APLICAÇÃO DE MÉTRICAS PARA DESTAQUE DE ENTIDADES NA ANÁLISE DE GRAFOS</v>
      </c>
      <c r="J243" s="20" t="str">
        <f t="shared" si="2"/>
        <v>Business Intelligence</v>
      </c>
      <c r="K243" s="20"/>
      <c r="L243" s="20" t="str">
        <f t="shared" si="3"/>
        <v>business intelligence</v>
      </c>
      <c r="M243" s="18"/>
      <c r="N243" s="21" t="str">
        <f>IFERROR(__xludf.DUMMYFUNCTION("""COMPUTED_VALUE""")," Business Intelligence")</f>
        <v> Business Intelligence</v>
      </c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</row>
    <row r="244">
      <c r="A244" s="22"/>
      <c r="B244" s="23"/>
      <c r="C244" s="24"/>
      <c r="D244" s="24"/>
      <c r="E244" s="18"/>
      <c r="F244" s="18"/>
      <c r="G244" s="25">
        <f t="shared" ref="G244:I244" si="204">G243</f>
        <v>2019</v>
      </c>
      <c r="H244" s="20" t="str">
        <f t="shared" si="204"/>
        <v>admpdd2019</v>
      </c>
      <c r="I244" s="20" t="str">
        <f t="shared" si="204"/>
        <v>APLICAÇÃO DE MÉTRICAS PARA DESTAQUE DE ENTIDADES NA ANÁLISE DE GRAFOS</v>
      </c>
      <c r="J244" s="20" t="str">
        <f t="shared" si="2"/>
        <v>Análise de Vínculos</v>
      </c>
      <c r="K244" s="20"/>
      <c r="L244" s="20" t="str">
        <f t="shared" si="3"/>
        <v>análise de vínculos</v>
      </c>
      <c r="M244" s="18"/>
      <c r="N244" s="21" t="str">
        <f>IFERROR(__xludf.DUMMYFUNCTION("""COMPUTED_VALUE""")," Análise de Vínculos")</f>
        <v> Análise de Vínculos</v>
      </c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</row>
    <row r="245">
      <c r="A245" s="22"/>
      <c r="B245" s="23"/>
      <c r="C245" s="24"/>
      <c r="D245" s="24"/>
      <c r="E245" s="18"/>
      <c r="F245" s="18"/>
      <c r="G245" s="25">
        <f t="shared" ref="G245:I245" si="205">G244</f>
        <v>2019</v>
      </c>
      <c r="H245" s="20" t="str">
        <f t="shared" si="205"/>
        <v>admpdd2019</v>
      </c>
      <c r="I245" s="20" t="str">
        <f t="shared" si="205"/>
        <v>APLICAÇÃO DE MÉTRICAS PARA DESTAQUE DE ENTIDADES NA ANÁLISE DE GRAFOS</v>
      </c>
      <c r="J245" s="20" t="str">
        <f t="shared" si="2"/>
        <v/>
      </c>
      <c r="K245" s="20"/>
      <c r="L245" s="20" t="str">
        <f t="shared" si="3"/>
        <v/>
      </c>
      <c r="M245" s="18"/>
      <c r="N245" s="21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</row>
    <row r="246">
      <c r="A246" s="22"/>
      <c r="B246" s="23"/>
      <c r="C246" s="24"/>
      <c r="D246" s="24"/>
      <c r="E246" s="18"/>
      <c r="F246" s="18"/>
      <c r="G246" s="25">
        <f t="shared" ref="G246:I246" si="206">G245</f>
        <v>2019</v>
      </c>
      <c r="H246" s="20" t="str">
        <f t="shared" si="206"/>
        <v>admpdd2019</v>
      </c>
      <c r="I246" s="20" t="str">
        <f t="shared" si="206"/>
        <v>APLICAÇÃO DE MÉTRICAS PARA DESTAQUE DE ENTIDADES NA ANÁLISE DE GRAFOS</v>
      </c>
      <c r="J246" s="20" t="str">
        <f t="shared" si="2"/>
        <v/>
      </c>
      <c r="K246" s="20"/>
      <c r="L246" s="20" t="str">
        <f t="shared" si="3"/>
        <v/>
      </c>
      <c r="M246" s="18"/>
      <c r="N246" s="21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</row>
    <row r="247">
      <c r="A247" s="8"/>
      <c r="B247" s="23"/>
      <c r="C247" s="24"/>
      <c r="D247" s="24"/>
      <c r="E247" s="18"/>
      <c r="F247" s="18"/>
      <c r="G247" s="25">
        <f t="shared" ref="G247:I247" si="207">G246</f>
        <v>2019</v>
      </c>
      <c r="H247" s="20" t="str">
        <f t="shared" si="207"/>
        <v>admpdd2019</v>
      </c>
      <c r="I247" s="20" t="str">
        <f t="shared" si="207"/>
        <v>APLICAÇÃO DE MÉTRICAS PARA DESTAQUE DE ENTIDADES NA ANÁLISE DE GRAFOS</v>
      </c>
      <c r="J247" s="20" t="str">
        <f t="shared" si="2"/>
        <v/>
      </c>
      <c r="K247" s="20"/>
      <c r="L247" s="20" t="str">
        <f t="shared" si="3"/>
        <v/>
      </c>
      <c r="M247" s="18"/>
      <c r="N247" s="21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</row>
    <row r="248">
      <c r="A248" s="8" t="s">
        <v>54</v>
      </c>
      <c r="B248" s="29">
        <v>2019.0</v>
      </c>
      <c r="C248" s="10" t="s">
        <v>137</v>
      </c>
      <c r="D248" s="10" t="s">
        <v>138</v>
      </c>
      <c r="E248" s="18"/>
      <c r="F248" s="18"/>
      <c r="G248" s="12">
        <f>B248</f>
        <v>2019</v>
      </c>
      <c r="H248" s="13" t="str">
        <f>LOWER(left(O248,1)&amp;left(P248,1)&amp;left(Q248,1)&amp;left(R248,1)&amp;left(S248,1)&amp;left(T248,1))&amp;G248</f>
        <v>andpdd2019</v>
      </c>
      <c r="I248" s="20" t="str">
        <f>trim(C248)</f>
        <v>AUTORIDADE NACIONAL DE PROTEÇÃO DE DADOS E PRIVACIDADE</v>
      </c>
      <c r="J248" s="20" t="str">
        <f t="shared" si="2"/>
        <v>Lei Geral de Proteção de Dados</v>
      </c>
      <c r="K248" s="20"/>
      <c r="L248" s="20" t="str">
        <f t="shared" si="3"/>
        <v>lei geral de proteção de dados</v>
      </c>
      <c r="M248" s="18"/>
      <c r="N248" s="21" t="str">
        <f>IFERROR(__xludf.DUMMYFUNCTION("TRANSPOSE(split(D248,"";"",true,true))"),"Lei Geral de Proteção de Dados")</f>
        <v>Lei Geral de Proteção de Dados</v>
      </c>
      <c r="O248" s="6" t="str">
        <f>IFERROR(__xludf.DUMMYFUNCTION("split(C248,"" "")"),"AUTORIDADE")</f>
        <v>AUTORIDADE</v>
      </c>
      <c r="P248" s="18" t="str">
        <f>IFERROR(__xludf.DUMMYFUNCTION("""COMPUTED_VALUE"""),"NACIONAL")</f>
        <v>NACIONAL</v>
      </c>
      <c r="Q248" s="18" t="str">
        <f>IFERROR(__xludf.DUMMYFUNCTION("""COMPUTED_VALUE"""),"DE")</f>
        <v>DE</v>
      </c>
      <c r="R248" s="18" t="str">
        <f>IFERROR(__xludf.DUMMYFUNCTION("""COMPUTED_VALUE"""),"PROTEÇÃO")</f>
        <v>PROTEÇÃO</v>
      </c>
      <c r="S248" s="18" t="str">
        <f>IFERROR(__xludf.DUMMYFUNCTION("""COMPUTED_VALUE"""),"DE")</f>
        <v>DE</v>
      </c>
      <c r="T248" s="18" t="str">
        <f>IFERROR(__xludf.DUMMYFUNCTION("""COMPUTED_VALUE"""),"DADOS")</f>
        <v>DADOS</v>
      </c>
      <c r="U248" s="18" t="str">
        <f>IFERROR(__xludf.DUMMYFUNCTION("""COMPUTED_VALUE"""),"E")</f>
        <v>E</v>
      </c>
      <c r="V248" s="18" t="str">
        <f>IFERROR(__xludf.DUMMYFUNCTION("""COMPUTED_VALUE"""),"PRIVACIDADE")</f>
        <v>PRIVACIDADE</v>
      </c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</row>
    <row r="249">
      <c r="A249" s="22"/>
      <c r="B249" s="23"/>
      <c r="C249" s="24"/>
      <c r="D249" s="24"/>
      <c r="E249" s="18"/>
      <c r="F249" s="18"/>
      <c r="G249" s="25">
        <f t="shared" ref="G249:I249" si="208">G248</f>
        <v>2019</v>
      </c>
      <c r="H249" s="20" t="str">
        <f t="shared" si="208"/>
        <v>andpdd2019</v>
      </c>
      <c r="I249" s="20" t="str">
        <f t="shared" si="208"/>
        <v>AUTORIDADE NACIONAL DE PROTEÇÃO DE DADOS E PRIVACIDADE</v>
      </c>
      <c r="J249" s="20" t="str">
        <f t="shared" si="2"/>
        <v>Autoridade Nacional de Proteção de Dados</v>
      </c>
      <c r="K249" s="20"/>
      <c r="L249" s="20" t="str">
        <f t="shared" si="3"/>
        <v>autoridade nacional de proteção de dados</v>
      </c>
      <c r="M249" s="18"/>
      <c r="N249" s="21" t="str">
        <f>IFERROR(__xludf.DUMMYFUNCTION("""COMPUTED_VALUE""")," Autoridade Nacional de Proteção de Dados")</f>
        <v> Autoridade Nacional de Proteção de Dados</v>
      </c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</row>
    <row r="250">
      <c r="A250" s="22"/>
      <c r="B250" s="23"/>
      <c r="C250" s="24"/>
      <c r="D250" s="24"/>
      <c r="E250" s="18"/>
      <c r="F250" s="18"/>
      <c r="G250" s="25">
        <f t="shared" ref="G250:I250" si="209">G249</f>
        <v>2019</v>
      </c>
      <c r="H250" s="20" t="str">
        <f t="shared" si="209"/>
        <v>andpdd2019</v>
      </c>
      <c r="I250" s="20" t="str">
        <f t="shared" si="209"/>
        <v>AUTORIDADE NACIONAL DE PROTEÇÃO DE DADOS E PRIVACIDADE</v>
      </c>
      <c r="J250" s="20" t="str">
        <f t="shared" si="2"/>
        <v>Política Nacional de Proteção de Dados e Privacidade</v>
      </c>
      <c r="K250" s="20"/>
      <c r="L250" s="20" t="str">
        <f t="shared" si="3"/>
        <v>política nacional de proteção de dados e privacidade</v>
      </c>
      <c r="M250" s="18"/>
      <c r="N250" s="21" t="str">
        <f>IFERROR(__xludf.DUMMYFUNCTION("""COMPUTED_VALUE""")," Política Nacional de Proteção de Dados e Privacidade")</f>
        <v> Política Nacional de Proteção de Dados e Privacidade</v>
      </c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</row>
    <row r="251">
      <c r="A251" s="22"/>
      <c r="B251" s="23"/>
      <c r="C251" s="24"/>
      <c r="D251" s="24"/>
      <c r="E251" s="18"/>
      <c r="F251" s="18"/>
      <c r="G251" s="25">
        <f t="shared" ref="G251:I251" si="210">G250</f>
        <v>2019</v>
      </c>
      <c r="H251" s="20" t="str">
        <f t="shared" si="210"/>
        <v>andpdd2019</v>
      </c>
      <c r="I251" s="20" t="str">
        <f t="shared" si="210"/>
        <v>AUTORIDADE NACIONAL DE PROTEÇÃO DE DADOS E PRIVACIDADE</v>
      </c>
      <c r="J251" s="20" t="str">
        <f t="shared" si="2"/>
        <v/>
      </c>
      <c r="K251" s="20"/>
      <c r="L251" s="20" t="str">
        <f t="shared" si="3"/>
        <v/>
      </c>
      <c r="M251" s="18"/>
      <c r="N251" s="21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</row>
    <row r="252">
      <c r="A252" s="22"/>
      <c r="B252" s="23"/>
      <c r="C252" s="24"/>
      <c r="D252" s="24"/>
      <c r="E252" s="18"/>
      <c r="F252" s="18"/>
      <c r="G252" s="25">
        <f t="shared" ref="G252:I252" si="211">G251</f>
        <v>2019</v>
      </c>
      <c r="H252" s="20" t="str">
        <f t="shared" si="211"/>
        <v>andpdd2019</v>
      </c>
      <c r="I252" s="20" t="str">
        <f t="shared" si="211"/>
        <v>AUTORIDADE NACIONAL DE PROTEÇÃO DE DADOS E PRIVACIDADE</v>
      </c>
      <c r="J252" s="20" t="str">
        <f t="shared" si="2"/>
        <v/>
      </c>
      <c r="K252" s="20"/>
      <c r="L252" s="20" t="str">
        <f t="shared" si="3"/>
        <v/>
      </c>
      <c r="M252" s="18"/>
      <c r="N252" s="21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</row>
    <row r="253">
      <c r="A253" s="8"/>
      <c r="B253" s="23"/>
      <c r="C253" s="24"/>
      <c r="D253" s="24"/>
      <c r="E253" s="18"/>
      <c r="F253" s="18"/>
      <c r="G253" s="25">
        <f t="shared" ref="G253:I253" si="212">G252</f>
        <v>2019</v>
      </c>
      <c r="H253" s="20" t="str">
        <f t="shared" si="212"/>
        <v>andpdd2019</v>
      </c>
      <c r="I253" s="20" t="str">
        <f t="shared" si="212"/>
        <v>AUTORIDADE NACIONAL DE PROTEÇÃO DE DADOS E PRIVACIDADE</v>
      </c>
      <c r="J253" s="20" t="str">
        <f t="shared" si="2"/>
        <v/>
      </c>
      <c r="K253" s="20"/>
      <c r="L253" s="20" t="str">
        <f t="shared" si="3"/>
        <v/>
      </c>
      <c r="M253" s="18"/>
      <c r="N253" s="21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</row>
    <row r="254">
      <c r="A254" s="8" t="s">
        <v>54</v>
      </c>
      <c r="B254" s="29">
        <v>2019.0</v>
      </c>
      <c r="C254" s="10" t="s">
        <v>139</v>
      </c>
      <c r="D254" s="10" t="s">
        <v>140</v>
      </c>
      <c r="E254" s="18"/>
      <c r="F254" s="18"/>
      <c r="G254" s="12">
        <f>B254</f>
        <v>2019</v>
      </c>
      <c r="H254" s="13" t="str">
        <f>LOWER(left(O254,1)&amp;left(P254,1)&amp;left(Q254,1)&amp;left(R254,1)&amp;left(S254,1)&amp;left(T254,1))&amp;G254</f>
        <v>cdpcet2019</v>
      </c>
      <c r="I254" s="20" t="str">
        <f>trim(C254)</f>
        <v>CARACTERIZAÇÃO DA PRODUÇÃO CIENTÍFICA E TECNOLÓGICA DAS DOUTORAS NO BRASIL</v>
      </c>
      <c r="J254" s="20" t="str">
        <f t="shared" si="2"/>
        <v>Mulheres na ciência</v>
      </c>
      <c r="K254" s="20"/>
      <c r="L254" s="20" t="str">
        <f t="shared" si="3"/>
        <v>mulheres na ciência</v>
      </c>
      <c r="M254" s="18"/>
      <c r="N254" s="21" t="str">
        <f>IFERROR(__xludf.DUMMYFUNCTION("TRANSPOSE(split(D254,"";"",true,true))"),"Mulheres na ciência")</f>
        <v>Mulheres na ciência</v>
      </c>
      <c r="O254" s="6" t="str">
        <f>IFERROR(__xludf.DUMMYFUNCTION("split(C254,"" "")"),"CARACTERIZAÇÃO")</f>
        <v>CARACTERIZAÇÃO</v>
      </c>
      <c r="P254" s="18" t="str">
        <f>IFERROR(__xludf.DUMMYFUNCTION("""COMPUTED_VALUE"""),"DA")</f>
        <v>DA</v>
      </c>
      <c r="Q254" s="18" t="str">
        <f>IFERROR(__xludf.DUMMYFUNCTION("""COMPUTED_VALUE"""),"PRODUÇÃO")</f>
        <v>PRODUÇÃO</v>
      </c>
      <c r="R254" s="18" t="str">
        <f>IFERROR(__xludf.DUMMYFUNCTION("""COMPUTED_VALUE"""),"CIENTÍFICA")</f>
        <v>CIENTÍFICA</v>
      </c>
      <c r="S254" s="18" t="str">
        <f>IFERROR(__xludf.DUMMYFUNCTION("""COMPUTED_VALUE"""),"E")</f>
        <v>E</v>
      </c>
      <c r="T254" s="18" t="str">
        <f>IFERROR(__xludf.DUMMYFUNCTION("""COMPUTED_VALUE"""),"TECNOLÓGICA")</f>
        <v>TECNOLÓGICA</v>
      </c>
      <c r="U254" s="18" t="str">
        <f>IFERROR(__xludf.DUMMYFUNCTION("""COMPUTED_VALUE"""),"DAS")</f>
        <v>DAS</v>
      </c>
      <c r="V254" s="18" t="str">
        <f>IFERROR(__xludf.DUMMYFUNCTION("""COMPUTED_VALUE"""),"DOUTORAS")</f>
        <v>DOUTORAS</v>
      </c>
      <c r="W254" s="18" t="str">
        <f>IFERROR(__xludf.DUMMYFUNCTION("""COMPUTED_VALUE"""),"NO")</f>
        <v>NO</v>
      </c>
      <c r="X254" s="18" t="str">
        <f>IFERROR(__xludf.DUMMYFUNCTION("""COMPUTED_VALUE"""),"BRASIL")</f>
        <v>BRASIL</v>
      </c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</row>
    <row r="255">
      <c r="A255" s="22"/>
      <c r="B255" s="23"/>
      <c r="C255" s="24"/>
      <c r="D255" s="24"/>
      <c r="E255" s="18"/>
      <c r="F255" s="18"/>
      <c r="G255" s="25">
        <f t="shared" ref="G255:I255" si="213">G254</f>
        <v>2019</v>
      </c>
      <c r="H255" s="20" t="str">
        <f t="shared" si="213"/>
        <v>cdpcet2019</v>
      </c>
      <c r="I255" s="20" t="str">
        <f t="shared" si="213"/>
        <v>CARACTERIZAÇÃO DA PRODUÇÃO CIENTÍFICA E TECNOLÓGICA DAS DOUTORAS NO BRASIL</v>
      </c>
      <c r="J255" s="20" t="str">
        <f t="shared" si="2"/>
        <v>Plataforma Lattes</v>
      </c>
      <c r="K255" s="20"/>
      <c r="L255" s="20" t="str">
        <f t="shared" si="3"/>
        <v>plataforma lattes</v>
      </c>
      <c r="M255" s="18"/>
      <c r="N255" s="21" t="str">
        <f>IFERROR(__xludf.DUMMYFUNCTION("""COMPUTED_VALUE""")," Plataforma Lattes")</f>
        <v> Plataforma Lattes</v>
      </c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</row>
    <row r="256">
      <c r="A256" s="22"/>
      <c r="B256" s="23"/>
      <c r="C256" s="24"/>
      <c r="D256" s="24"/>
      <c r="E256" s="18"/>
      <c r="F256" s="18"/>
      <c r="G256" s="25">
        <f t="shared" ref="G256:I256" si="214">G255</f>
        <v>2019</v>
      </c>
      <c r="H256" s="20" t="str">
        <f t="shared" si="214"/>
        <v>cdpcet2019</v>
      </c>
      <c r="I256" s="20" t="str">
        <f t="shared" si="214"/>
        <v>CARACTERIZAÇÃO DA PRODUÇÃO CIENTÍFICA E TECNOLÓGICA DAS DOUTORAS NO BRASIL</v>
      </c>
      <c r="J256" s="20" t="str">
        <f t="shared" si="2"/>
        <v>Produção científica e tecnológica</v>
      </c>
      <c r="K256" s="20"/>
      <c r="L256" s="20" t="str">
        <f t="shared" si="3"/>
        <v>produção científica e tecnológica</v>
      </c>
      <c r="M256" s="18"/>
      <c r="N256" s="21" t="str">
        <f>IFERROR(__xludf.DUMMYFUNCTION("""COMPUTED_VALUE""")," Produção científica e tecnológica")</f>
        <v> Produção científica e tecnológica</v>
      </c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</row>
    <row r="257">
      <c r="A257" s="22"/>
      <c r="B257" s="23"/>
      <c r="C257" s="24"/>
      <c r="D257" s="24"/>
      <c r="E257" s="18"/>
      <c r="F257" s="18"/>
      <c r="G257" s="25">
        <f t="shared" ref="G257:I257" si="215">G256</f>
        <v>2019</v>
      </c>
      <c r="H257" s="20" t="str">
        <f t="shared" si="215"/>
        <v>cdpcet2019</v>
      </c>
      <c r="I257" s="20" t="str">
        <f t="shared" si="215"/>
        <v>CARACTERIZAÇÃO DA PRODUÇÃO CIENTÍFICA E TECNOLÓGICA DAS DOUTORAS NO BRASIL</v>
      </c>
      <c r="J257" s="20" t="str">
        <f t="shared" si="2"/>
        <v>Gênero feminino</v>
      </c>
      <c r="K257" s="20"/>
      <c r="L257" s="20" t="str">
        <f t="shared" si="3"/>
        <v>gênero feminino</v>
      </c>
      <c r="M257" s="18"/>
      <c r="N257" s="21" t="str">
        <f>IFERROR(__xludf.DUMMYFUNCTION("""COMPUTED_VALUE""")," Gênero feminino")</f>
        <v> Gênero feminino</v>
      </c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</row>
    <row r="258">
      <c r="A258" s="22"/>
      <c r="B258" s="23"/>
      <c r="C258" s="24"/>
      <c r="D258" s="24"/>
      <c r="E258" s="18"/>
      <c r="F258" s="18"/>
      <c r="G258" s="25">
        <f t="shared" ref="G258:I258" si="216">G257</f>
        <v>2019</v>
      </c>
      <c r="H258" s="20" t="str">
        <f t="shared" si="216"/>
        <v>cdpcet2019</v>
      </c>
      <c r="I258" s="20" t="str">
        <f t="shared" si="216"/>
        <v>CARACTERIZAÇÃO DA PRODUÇÃO CIENTÍFICA E TECNOLÓGICA DAS DOUTORAS NO BRASIL</v>
      </c>
      <c r="J258" s="20" t="str">
        <f t="shared" si="2"/>
        <v>Bibliometria</v>
      </c>
      <c r="K258" s="20"/>
      <c r="L258" s="20" t="str">
        <f t="shared" si="3"/>
        <v>bibliometria</v>
      </c>
      <c r="M258" s="18"/>
      <c r="N258" s="21" t="str">
        <f>IFERROR(__xludf.DUMMYFUNCTION("""COMPUTED_VALUE""")," Bibliometria")</f>
        <v> Bibliometria</v>
      </c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</row>
    <row r="259">
      <c r="A259" s="8"/>
      <c r="B259" s="23"/>
      <c r="C259" s="24"/>
      <c r="D259" s="24"/>
      <c r="E259" s="18"/>
      <c r="F259" s="18"/>
      <c r="G259" s="25">
        <f t="shared" ref="G259:I259" si="217">G258</f>
        <v>2019</v>
      </c>
      <c r="H259" s="20" t="str">
        <f t="shared" si="217"/>
        <v>cdpcet2019</v>
      </c>
      <c r="I259" s="20" t="str">
        <f t="shared" si="217"/>
        <v>CARACTERIZAÇÃO DA PRODUÇÃO CIENTÍFICA E TECNOLÓGICA DAS DOUTORAS NO BRASIL</v>
      </c>
      <c r="J259" s="20" t="str">
        <f t="shared" si="2"/>
        <v/>
      </c>
      <c r="K259" s="20"/>
      <c r="L259" s="20" t="str">
        <f t="shared" si="3"/>
        <v/>
      </c>
      <c r="M259" s="18"/>
      <c r="N259" s="21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</row>
    <row r="260">
      <c r="A260" s="8" t="s">
        <v>54</v>
      </c>
      <c r="B260" s="29">
        <v>2019.0</v>
      </c>
      <c r="C260" s="10" t="s">
        <v>141</v>
      </c>
      <c r="D260" s="10" t="s">
        <v>142</v>
      </c>
      <c r="E260" s="18"/>
      <c r="F260" s="18"/>
      <c r="G260" s="12">
        <f>B260</f>
        <v>2019</v>
      </c>
      <c r="H260" s="13" t="str">
        <f>LOWER(left(O260,1)&amp;left(P260,1)&amp;left(Q260,1)&amp;left(R260,1)&amp;left(S260,1)&amp;left(T260,1))&amp;G260</f>
        <v>cadted2019</v>
      </c>
      <c r="I260" s="20" t="str">
        <f>trim(C260)</f>
        <v>CLASSIFICAÇÃO AUTOMÁTICA DE TESES E DISSERTAÇÕES DA ÁREA DA CIÊNCIA DA INFORMAÇÃO SOB A ÓTICA DOS GRUPOS DE TRABALHO DA ANCIB AUTOMATIC</v>
      </c>
      <c r="J260" s="20" t="str">
        <f t="shared" si="2"/>
        <v>Ciência da Informação</v>
      </c>
      <c r="K260" s="20"/>
      <c r="L260" s="20" t="str">
        <f t="shared" si="3"/>
        <v>ciência da informação</v>
      </c>
      <c r="M260" s="18"/>
      <c r="N260" s="21" t="str">
        <f>IFERROR(__xludf.DUMMYFUNCTION("TRANSPOSE(split(D260,"";"",true,true))"),"Ciência da Informação")</f>
        <v>Ciência da Informação</v>
      </c>
      <c r="O260" s="6" t="str">
        <f>IFERROR(__xludf.DUMMYFUNCTION("split(C260,"" "")"),"CLASSIFICAÇÃO")</f>
        <v>CLASSIFICAÇÃO</v>
      </c>
      <c r="P260" s="18" t="str">
        <f>IFERROR(__xludf.DUMMYFUNCTION("""COMPUTED_VALUE"""),"AUTOMÁTICA")</f>
        <v>AUTOMÁTICA</v>
      </c>
      <c r="Q260" s="18" t="str">
        <f>IFERROR(__xludf.DUMMYFUNCTION("""COMPUTED_VALUE"""),"DE")</f>
        <v>DE</v>
      </c>
      <c r="R260" s="18" t="str">
        <f>IFERROR(__xludf.DUMMYFUNCTION("""COMPUTED_VALUE"""),"TESES")</f>
        <v>TESES</v>
      </c>
      <c r="S260" s="18" t="str">
        <f>IFERROR(__xludf.DUMMYFUNCTION("""COMPUTED_VALUE"""),"E")</f>
        <v>E</v>
      </c>
      <c r="T260" s="18" t="str">
        <f>IFERROR(__xludf.DUMMYFUNCTION("""COMPUTED_VALUE"""),"DISSERTAÇÕES")</f>
        <v>DISSERTAÇÕES</v>
      </c>
      <c r="U260" s="18" t="str">
        <f>IFERROR(__xludf.DUMMYFUNCTION("""COMPUTED_VALUE"""),"DA")</f>
        <v>DA</v>
      </c>
      <c r="V260" s="18" t="str">
        <f>IFERROR(__xludf.DUMMYFUNCTION("""COMPUTED_VALUE"""),"ÁREA")</f>
        <v>ÁREA</v>
      </c>
      <c r="W260" s="18" t="str">
        <f>IFERROR(__xludf.DUMMYFUNCTION("""COMPUTED_VALUE"""),"DA")</f>
        <v>DA</v>
      </c>
      <c r="X260" s="18" t="str">
        <f>IFERROR(__xludf.DUMMYFUNCTION("""COMPUTED_VALUE"""),"CIÊNCIA")</f>
        <v>CIÊNCIA</v>
      </c>
      <c r="Y260" s="18" t="str">
        <f>IFERROR(__xludf.DUMMYFUNCTION("""COMPUTED_VALUE"""),"DA")</f>
        <v>DA</v>
      </c>
      <c r="Z260" s="18" t="str">
        <f>IFERROR(__xludf.DUMMYFUNCTION("""COMPUTED_VALUE"""),"INFORMAÇÃO")</f>
        <v>INFORMAÇÃO</v>
      </c>
      <c r="AA260" s="18" t="str">
        <f>IFERROR(__xludf.DUMMYFUNCTION("""COMPUTED_VALUE"""),"SOB")</f>
        <v>SOB</v>
      </c>
      <c r="AB260" s="18" t="str">
        <f>IFERROR(__xludf.DUMMYFUNCTION("""COMPUTED_VALUE"""),"A")</f>
        <v>A</v>
      </c>
      <c r="AC260" s="18" t="str">
        <f>IFERROR(__xludf.DUMMYFUNCTION("""COMPUTED_VALUE"""),"ÓTICA")</f>
        <v>ÓTICA</v>
      </c>
      <c r="AD260" s="18" t="str">
        <f>IFERROR(__xludf.DUMMYFUNCTION("""COMPUTED_VALUE"""),"DOS")</f>
        <v>DOS</v>
      </c>
      <c r="AE260" s="18" t="str">
        <f>IFERROR(__xludf.DUMMYFUNCTION("""COMPUTED_VALUE"""),"GRUPOS")</f>
        <v>GRUPOS</v>
      </c>
      <c r="AF260" s="18" t="str">
        <f>IFERROR(__xludf.DUMMYFUNCTION("""COMPUTED_VALUE"""),"DE")</f>
        <v>DE</v>
      </c>
      <c r="AG260" s="18" t="str">
        <f>IFERROR(__xludf.DUMMYFUNCTION("""COMPUTED_VALUE"""),"TRABALHO")</f>
        <v>TRABALHO</v>
      </c>
      <c r="AH260" s="18" t="str">
        <f>IFERROR(__xludf.DUMMYFUNCTION("""COMPUTED_VALUE"""),"DA")</f>
        <v>DA</v>
      </c>
      <c r="AI260" s="18" t="str">
        <f>IFERROR(__xludf.DUMMYFUNCTION("""COMPUTED_VALUE"""),"ANCIB")</f>
        <v>ANCIB</v>
      </c>
      <c r="AJ260" s="18" t="str">
        <f>IFERROR(__xludf.DUMMYFUNCTION("""COMPUTED_VALUE"""),"AUTOMATIC")</f>
        <v>AUTOMATIC</v>
      </c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</row>
    <row r="261">
      <c r="A261" s="22"/>
      <c r="B261" s="23"/>
      <c r="C261" s="24"/>
      <c r="D261" s="24"/>
      <c r="E261" s="18"/>
      <c r="F261" s="18"/>
      <c r="G261" s="25">
        <f t="shared" ref="G261:I261" si="218">G260</f>
        <v>2019</v>
      </c>
      <c r="H261" s="20" t="str">
        <f t="shared" si="218"/>
        <v>cadted2019</v>
      </c>
      <c r="I261" s="20" t="str">
        <f t="shared" si="218"/>
        <v>CLASSIFICAÇÃO AUTOMÁTICA DE TESES E DISSERTAÇÕES DA ÁREA DA CIÊNCIA DA INFORMAÇÃO SOB A ÓTICA DOS GRUPOS DE TRABALHO DA ANCIB AUTOMATIC</v>
      </c>
      <c r="J261" s="20" t="str">
        <f t="shared" si="2"/>
        <v>Classificação textual</v>
      </c>
      <c r="K261" s="20"/>
      <c r="L261" s="20" t="str">
        <f t="shared" si="3"/>
        <v>classificação textual</v>
      </c>
      <c r="M261" s="18"/>
      <c r="N261" s="21" t="str">
        <f>IFERROR(__xludf.DUMMYFUNCTION("""COMPUTED_VALUE""")," Classificação textual")</f>
        <v> Classificação textual</v>
      </c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</row>
    <row r="262">
      <c r="A262" s="22"/>
      <c r="B262" s="23"/>
      <c r="C262" s="24"/>
      <c r="D262" s="24"/>
      <c r="E262" s="18"/>
      <c r="F262" s="18"/>
      <c r="G262" s="25">
        <f t="shared" ref="G262:I262" si="219">G261</f>
        <v>2019</v>
      </c>
      <c r="H262" s="20" t="str">
        <f t="shared" si="219"/>
        <v>cadted2019</v>
      </c>
      <c r="I262" s="20" t="str">
        <f t="shared" si="219"/>
        <v>CLASSIFICAÇÃO AUTOMÁTICA DE TESES E DISSERTAÇÕES DA ÁREA DA CIÊNCIA DA INFORMAÇÃO SOB A ÓTICA DOS GRUPOS DE TRABALHO DA ANCIB AUTOMATIC</v>
      </c>
      <c r="J262" s="20" t="str">
        <f t="shared" si="2"/>
        <v>Bag-of-Words</v>
      </c>
      <c r="K262" s="20"/>
      <c r="L262" s="20" t="str">
        <f t="shared" si="3"/>
        <v>bag-of-words</v>
      </c>
      <c r="M262" s="18"/>
      <c r="N262" s="21" t="str">
        <f>IFERROR(__xludf.DUMMYFUNCTION("""COMPUTED_VALUE""")," Bag-of-Words")</f>
        <v> Bag-of-Words</v>
      </c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</row>
    <row r="263">
      <c r="A263" s="22"/>
      <c r="B263" s="23"/>
      <c r="C263" s="24"/>
      <c r="D263" s="24"/>
      <c r="E263" s="18"/>
      <c r="F263" s="18"/>
      <c r="G263" s="25">
        <f t="shared" ref="G263:I263" si="220">G262</f>
        <v>2019</v>
      </c>
      <c r="H263" s="20" t="str">
        <f t="shared" si="220"/>
        <v>cadted2019</v>
      </c>
      <c r="I263" s="20" t="str">
        <f t="shared" si="220"/>
        <v>CLASSIFICAÇÃO AUTOMÁTICA DE TESES E DISSERTAÇÕES DA ÁREA DA CIÊNCIA DA INFORMAÇÃO SOB A ÓTICA DOS GRUPOS DE TRABALHO DA ANCIB AUTOMATIC</v>
      </c>
      <c r="J263" s="20" t="str">
        <f t="shared" si="2"/>
        <v>N-Gramas</v>
      </c>
      <c r="K263" s="20"/>
      <c r="L263" s="20" t="str">
        <f t="shared" si="3"/>
        <v>n-gramas</v>
      </c>
      <c r="M263" s="18"/>
      <c r="N263" s="21" t="str">
        <f>IFERROR(__xludf.DUMMYFUNCTION("""COMPUTED_VALUE""")," N-Gramas")</f>
        <v> N-Gramas</v>
      </c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</row>
    <row r="264">
      <c r="A264" s="22"/>
      <c r="B264" s="23"/>
      <c r="C264" s="24"/>
      <c r="D264" s="24"/>
      <c r="E264" s="18"/>
      <c r="F264" s="18"/>
      <c r="G264" s="25">
        <f t="shared" ref="G264:I264" si="221">G263</f>
        <v>2019</v>
      </c>
      <c r="H264" s="20" t="str">
        <f t="shared" si="221"/>
        <v>cadted2019</v>
      </c>
      <c r="I264" s="20" t="str">
        <f t="shared" si="221"/>
        <v>CLASSIFICAÇÃO AUTOMÁTICA DE TESES E DISSERTAÇÕES DA ÁREA DA CIÊNCIA DA INFORMAÇÃO SOB A ÓTICA DOS GRUPOS DE TRABALHO DA ANCIB AUTOMATIC</v>
      </c>
      <c r="J264" s="20" t="str">
        <f t="shared" si="2"/>
        <v/>
      </c>
      <c r="K264" s="20"/>
      <c r="L264" s="20" t="str">
        <f t="shared" si="3"/>
        <v/>
      </c>
      <c r="M264" s="18"/>
      <c r="N264" s="21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</row>
    <row r="265">
      <c r="A265" s="8"/>
      <c r="B265" s="23"/>
      <c r="C265" s="24"/>
      <c r="D265" s="24"/>
      <c r="E265" s="18"/>
      <c r="F265" s="18"/>
      <c r="G265" s="25">
        <f t="shared" ref="G265:I265" si="222">G264</f>
        <v>2019</v>
      </c>
      <c r="H265" s="20" t="str">
        <f t="shared" si="222"/>
        <v>cadted2019</v>
      </c>
      <c r="I265" s="20" t="str">
        <f t="shared" si="222"/>
        <v>CLASSIFICAÇÃO AUTOMÁTICA DE TESES E DISSERTAÇÕES DA ÁREA DA CIÊNCIA DA INFORMAÇÃO SOB A ÓTICA DOS GRUPOS DE TRABALHO DA ANCIB AUTOMATIC</v>
      </c>
      <c r="J265" s="20" t="str">
        <f t="shared" si="2"/>
        <v/>
      </c>
      <c r="K265" s="20"/>
      <c r="L265" s="20" t="str">
        <f t="shared" si="3"/>
        <v/>
      </c>
      <c r="M265" s="18"/>
      <c r="N265" s="21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</row>
    <row r="266">
      <c r="A266" s="8" t="s">
        <v>54</v>
      </c>
      <c r="B266" s="29">
        <v>2019.0</v>
      </c>
      <c r="C266" s="10" t="s">
        <v>143</v>
      </c>
      <c r="D266" s="10" t="s">
        <v>144</v>
      </c>
      <c r="E266" s="18"/>
      <c r="F266" s="18"/>
      <c r="G266" s="12">
        <f>B266</f>
        <v>2019</v>
      </c>
      <c r="H266" s="13" t="str">
        <f>LOWER(left(O266,1)&amp;left(P266,1)&amp;left(Q266,1)&amp;left(R266,1)&amp;left(S266,1)&amp;left(T266,1))&amp;G266</f>
        <v>daesae2019</v>
      </c>
      <c r="I266" s="20" t="str">
        <f>trim(C266)</f>
        <v>DADOS ABERTOS E SUAS APLICAÇÕES EM CIDADES INTELIGENTES</v>
      </c>
      <c r="J266" s="20" t="str">
        <f t="shared" si="2"/>
        <v>Cidades Inteligentes</v>
      </c>
      <c r="K266" s="20"/>
      <c r="L266" s="20" t="str">
        <f t="shared" si="3"/>
        <v>cidades inteligentes</v>
      </c>
      <c r="M266" s="18"/>
      <c r="N266" s="21" t="str">
        <f>IFERROR(__xludf.DUMMYFUNCTION("TRANSPOSE(split(D266,"";"",true,true))"),"Cidades Inteligentes")</f>
        <v>Cidades Inteligentes</v>
      </c>
      <c r="O266" s="6" t="str">
        <f>IFERROR(__xludf.DUMMYFUNCTION("split(C266,"" "")"),"DADOS")</f>
        <v>DADOS</v>
      </c>
      <c r="P266" s="18" t="str">
        <f>IFERROR(__xludf.DUMMYFUNCTION("""COMPUTED_VALUE"""),"ABERTOS")</f>
        <v>ABERTOS</v>
      </c>
      <c r="Q266" s="18" t="str">
        <f>IFERROR(__xludf.DUMMYFUNCTION("""COMPUTED_VALUE"""),"E")</f>
        <v>E</v>
      </c>
      <c r="R266" s="18" t="str">
        <f>IFERROR(__xludf.DUMMYFUNCTION("""COMPUTED_VALUE"""),"SUAS")</f>
        <v>SUAS</v>
      </c>
      <c r="S266" s="18" t="str">
        <f>IFERROR(__xludf.DUMMYFUNCTION("""COMPUTED_VALUE"""),"APLICAÇÕES")</f>
        <v>APLICAÇÕES</v>
      </c>
      <c r="T266" s="18" t="str">
        <f>IFERROR(__xludf.DUMMYFUNCTION("""COMPUTED_VALUE"""),"EM")</f>
        <v>EM</v>
      </c>
      <c r="U266" s="18" t="str">
        <f>IFERROR(__xludf.DUMMYFUNCTION("""COMPUTED_VALUE"""),"CIDADES")</f>
        <v>CIDADES</v>
      </c>
      <c r="V266" s="18" t="str">
        <f>IFERROR(__xludf.DUMMYFUNCTION("""COMPUTED_VALUE"""),"INTELIGENTES")</f>
        <v>INTELIGENTES</v>
      </c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</row>
    <row r="267">
      <c r="A267" s="8"/>
      <c r="B267" s="23"/>
      <c r="C267" s="24"/>
      <c r="D267" s="24"/>
      <c r="E267" s="18"/>
      <c r="F267" s="18"/>
      <c r="G267" s="25">
        <f t="shared" ref="G267:I267" si="223">G266</f>
        <v>2019</v>
      </c>
      <c r="H267" s="20" t="str">
        <f t="shared" si="223"/>
        <v>daesae2019</v>
      </c>
      <c r="I267" s="20" t="str">
        <f t="shared" si="223"/>
        <v>DADOS ABERTOS E SUAS APLICAÇÕES EM CIDADES INTELIGENTES</v>
      </c>
      <c r="J267" s="20" t="str">
        <f t="shared" si="2"/>
        <v>Administração Pública</v>
      </c>
      <c r="K267" s="20"/>
      <c r="L267" s="20" t="str">
        <f t="shared" si="3"/>
        <v>administração pública</v>
      </c>
      <c r="M267" s="18"/>
      <c r="N267" s="21" t="str">
        <f>IFERROR(__xludf.DUMMYFUNCTION("""COMPUTED_VALUE""")," Administração Pública")</f>
        <v> Administração Pública</v>
      </c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</row>
    <row r="268">
      <c r="A268" s="8"/>
      <c r="B268" s="23"/>
      <c r="C268" s="24"/>
      <c r="D268" s="24"/>
      <c r="E268" s="18"/>
      <c r="F268" s="18"/>
      <c r="G268" s="25">
        <f t="shared" ref="G268:I268" si="224">G267</f>
        <v>2019</v>
      </c>
      <c r="H268" s="20" t="str">
        <f t="shared" si="224"/>
        <v>daesae2019</v>
      </c>
      <c r="I268" s="20" t="str">
        <f t="shared" si="224"/>
        <v>DADOS ABERTOS E SUAS APLICAÇÕES EM CIDADES INTELIGENTES</v>
      </c>
      <c r="J268" s="20" t="str">
        <f t="shared" si="2"/>
        <v>Dados Abertos</v>
      </c>
      <c r="K268" s="20"/>
      <c r="L268" s="20" t="str">
        <f t="shared" si="3"/>
        <v>dados abertos</v>
      </c>
      <c r="M268" s="18"/>
      <c r="N268" s="21" t="str">
        <f>IFERROR(__xludf.DUMMYFUNCTION("""COMPUTED_VALUE""")," Dados Abertos")</f>
        <v> Dados Abertos</v>
      </c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</row>
    <row r="269">
      <c r="A269" s="8"/>
      <c r="B269" s="23"/>
      <c r="C269" s="24"/>
      <c r="D269" s="24"/>
      <c r="E269" s="18"/>
      <c r="F269" s="18"/>
      <c r="G269" s="25">
        <f t="shared" ref="G269:I269" si="225">G268</f>
        <v>2019</v>
      </c>
      <c r="H269" s="20" t="str">
        <f t="shared" si="225"/>
        <v>daesae2019</v>
      </c>
      <c r="I269" s="20" t="str">
        <f t="shared" si="225"/>
        <v>DADOS ABERTOS E SUAS APLICAÇÕES EM CIDADES INTELIGENTES</v>
      </c>
      <c r="J269" s="20" t="str">
        <f t="shared" si="2"/>
        <v>Modelagem da Informação</v>
      </c>
      <c r="K269" s="20"/>
      <c r="L269" s="20" t="str">
        <f t="shared" si="3"/>
        <v>modelagem da informação</v>
      </c>
      <c r="M269" s="18"/>
      <c r="N269" s="21" t="str">
        <f>IFERROR(__xludf.DUMMYFUNCTION("""COMPUTED_VALUE""")," Modelagem da Informação")</f>
        <v> Modelagem da Informação</v>
      </c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</row>
    <row r="270">
      <c r="A270" s="8"/>
      <c r="B270" s="23"/>
      <c r="C270" s="24"/>
      <c r="D270" s="24"/>
      <c r="E270" s="18"/>
      <c r="F270" s="18"/>
      <c r="G270" s="25">
        <f t="shared" ref="G270:I270" si="226">G269</f>
        <v>2019</v>
      </c>
      <c r="H270" s="20" t="str">
        <f t="shared" si="226"/>
        <v>daesae2019</v>
      </c>
      <c r="I270" s="20" t="str">
        <f t="shared" si="226"/>
        <v>DADOS ABERTOS E SUAS APLICAÇÕES EM CIDADES INTELIGENTES</v>
      </c>
      <c r="J270" s="20" t="str">
        <f t="shared" si="2"/>
        <v/>
      </c>
      <c r="K270" s="20"/>
      <c r="L270" s="20" t="str">
        <f t="shared" si="3"/>
        <v/>
      </c>
      <c r="M270" s="18"/>
      <c r="N270" s="21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</row>
    <row r="271">
      <c r="A271" s="8"/>
      <c r="B271" s="23"/>
      <c r="C271" s="24"/>
      <c r="D271" s="24"/>
      <c r="E271" s="18"/>
      <c r="F271" s="18"/>
      <c r="G271" s="25">
        <f t="shared" ref="G271:I271" si="227">G270</f>
        <v>2019</v>
      </c>
      <c r="H271" s="20" t="str">
        <f t="shared" si="227"/>
        <v>daesae2019</v>
      </c>
      <c r="I271" s="20" t="str">
        <f t="shared" si="227"/>
        <v>DADOS ABERTOS E SUAS APLICAÇÕES EM CIDADES INTELIGENTES</v>
      </c>
      <c r="J271" s="20" t="str">
        <f t="shared" si="2"/>
        <v/>
      </c>
      <c r="K271" s="20"/>
      <c r="L271" s="20" t="str">
        <f t="shared" si="3"/>
        <v/>
      </c>
      <c r="M271" s="18"/>
      <c r="N271" s="21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</row>
    <row r="272">
      <c r="A272" s="8" t="s">
        <v>54</v>
      </c>
      <c r="B272" s="29">
        <v>2019.0</v>
      </c>
      <c r="C272" s="10" t="s">
        <v>145</v>
      </c>
      <c r="D272" s="10" t="s">
        <v>146</v>
      </c>
      <c r="E272" s="18"/>
      <c r="F272" s="18"/>
      <c r="G272" s="12">
        <f>B272</f>
        <v>2019</v>
      </c>
      <c r="H272" s="13" t="str">
        <f>LOWER(left(O272,1)&amp;left(P272,1)&amp;left(Q272,1)&amp;left(R272,1)&amp;left(S272,1)&amp;left(T272,1))&amp;G272</f>
        <v>demrc2019</v>
      </c>
      <c r="I272" s="20" t="str">
        <f>trim(C272)</f>
        <v>DADOS E METADADOS: REFLEXÕES CONCEITUAIS</v>
      </c>
      <c r="J272" s="20" t="str">
        <f t="shared" si="2"/>
        <v>Dados</v>
      </c>
      <c r="K272" s="20"/>
      <c r="L272" s="20" t="str">
        <f t="shared" si="3"/>
        <v>dados</v>
      </c>
      <c r="M272" s="18"/>
      <c r="N272" s="21" t="str">
        <f>IFERROR(__xludf.DUMMYFUNCTION("TRANSPOSE(split(D272,"";"",true,true))"),"Dados")</f>
        <v>Dados</v>
      </c>
      <c r="O272" s="6" t="str">
        <f>IFERROR(__xludf.DUMMYFUNCTION("split(C272,"" "")"),"DADOS")</f>
        <v>DADOS</v>
      </c>
      <c r="P272" s="18" t="str">
        <f>IFERROR(__xludf.DUMMYFUNCTION("""COMPUTED_VALUE"""),"E")</f>
        <v>E</v>
      </c>
      <c r="Q272" s="18" t="str">
        <f>IFERROR(__xludf.DUMMYFUNCTION("""COMPUTED_VALUE"""),"METADADOS:")</f>
        <v>METADADOS:</v>
      </c>
      <c r="R272" s="18" t="str">
        <f>IFERROR(__xludf.DUMMYFUNCTION("""COMPUTED_VALUE"""),"REFLEXÕES")</f>
        <v>REFLEXÕES</v>
      </c>
      <c r="S272" s="18" t="str">
        <f>IFERROR(__xludf.DUMMYFUNCTION("""COMPUTED_VALUE"""),"CONCEITUAIS")</f>
        <v>CONCEITUAIS</v>
      </c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</row>
    <row r="273">
      <c r="A273" s="22"/>
      <c r="B273" s="23"/>
      <c r="C273" s="24"/>
      <c r="D273" s="24"/>
      <c r="E273" s="18"/>
      <c r="F273" s="18"/>
      <c r="G273" s="25">
        <f t="shared" ref="G273:I273" si="228">G272</f>
        <v>2019</v>
      </c>
      <c r="H273" s="20" t="str">
        <f t="shared" si="228"/>
        <v>demrc2019</v>
      </c>
      <c r="I273" s="20" t="str">
        <f t="shared" si="228"/>
        <v>DADOS E METADADOS: REFLEXÕES CONCEITUAIS</v>
      </c>
      <c r="J273" s="20" t="str">
        <f t="shared" si="2"/>
        <v>Metadados</v>
      </c>
      <c r="K273" s="20"/>
      <c r="L273" s="20" t="str">
        <f t="shared" si="3"/>
        <v>metadados</v>
      </c>
      <c r="M273" s="18"/>
      <c r="N273" s="21" t="str">
        <f>IFERROR(__xludf.DUMMYFUNCTION("""COMPUTED_VALUE""")," Metadados")</f>
        <v> Metadados</v>
      </c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</row>
    <row r="274">
      <c r="A274" s="22"/>
      <c r="B274" s="23"/>
      <c r="C274" s="24"/>
      <c r="D274" s="24"/>
      <c r="E274" s="18"/>
      <c r="F274" s="18"/>
      <c r="G274" s="25">
        <f t="shared" ref="G274:I274" si="229">G273</f>
        <v>2019</v>
      </c>
      <c r="H274" s="20" t="str">
        <f t="shared" si="229"/>
        <v>demrc2019</v>
      </c>
      <c r="I274" s="20" t="str">
        <f t="shared" si="229"/>
        <v>DADOS E METADADOS: REFLEXÕES CONCEITUAIS</v>
      </c>
      <c r="J274" s="20" t="str">
        <f t="shared" si="2"/>
        <v>Ciência da Informação</v>
      </c>
      <c r="K274" s="20"/>
      <c r="L274" s="20" t="str">
        <f t="shared" si="3"/>
        <v>ciência da informação</v>
      </c>
      <c r="M274" s="18"/>
      <c r="N274" s="21" t="str">
        <f>IFERROR(__xludf.DUMMYFUNCTION("""COMPUTED_VALUE""")," Ciência da Informação")</f>
        <v> Ciência da Informação</v>
      </c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</row>
    <row r="275">
      <c r="A275" s="22"/>
      <c r="B275" s="23"/>
      <c r="C275" s="24"/>
      <c r="D275" s="24"/>
      <c r="E275" s="18"/>
      <c r="F275" s="18"/>
      <c r="G275" s="25">
        <f t="shared" ref="G275:I275" si="230">G274</f>
        <v>2019</v>
      </c>
      <c r="H275" s="20" t="str">
        <f t="shared" si="230"/>
        <v>demrc2019</v>
      </c>
      <c r="I275" s="20" t="str">
        <f t="shared" si="230"/>
        <v>DADOS E METADADOS: REFLEXÕES CONCEITUAIS</v>
      </c>
      <c r="J275" s="20" t="str">
        <f t="shared" si="2"/>
        <v>Dado e metadado</v>
      </c>
      <c r="K275" s="20"/>
      <c r="L275" s="20" t="str">
        <f t="shared" si="3"/>
        <v>dado e metadado</v>
      </c>
      <c r="M275" s="18"/>
      <c r="N275" s="21" t="str">
        <f>IFERROR(__xludf.DUMMYFUNCTION("""COMPUTED_VALUE""")," Dado e metadado")</f>
        <v> Dado e metadado</v>
      </c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</row>
    <row r="276">
      <c r="A276" s="22"/>
      <c r="B276" s="23"/>
      <c r="C276" s="24"/>
      <c r="D276" s="24"/>
      <c r="E276" s="18"/>
      <c r="F276" s="18"/>
      <c r="G276" s="25">
        <f t="shared" ref="G276:I276" si="231">G275</f>
        <v>2019</v>
      </c>
      <c r="H276" s="20" t="str">
        <f t="shared" si="231"/>
        <v>demrc2019</v>
      </c>
      <c r="I276" s="20" t="str">
        <f t="shared" si="231"/>
        <v>DADOS E METADADOS: REFLEXÕES CONCEITUAIS</v>
      </c>
      <c r="J276" s="20" t="str">
        <f t="shared" si="2"/>
        <v/>
      </c>
      <c r="K276" s="20"/>
      <c r="L276" s="20" t="str">
        <f t="shared" si="3"/>
        <v/>
      </c>
      <c r="M276" s="18"/>
      <c r="N276" s="21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</row>
    <row r="277">
      <c r="A277" s="8"/>
      <c r="B277" s="23"/>
      <c r="C277" s="24"/>
      <c r="D277" s="24"/>
      <c r="E277" s="18"/>
      <c r="F277" s="18"/>
      <c r="G277" s="25">
        <f t="shared" ref="G277:I277" si="232">G276</f>
        <v>2019</v>
      </c>
      <c r="H277" s="20" t="str">
        <f t="shared" si="232"/>
        <v>demrc2019</v>
      </c>
      <c r="I277" s="20" t="str">
        <f t="shared" si="232"/>
        <v>DADOS E METADADOS: REFLEXÕES CONCEITUAIS</v>
      </c>
      <c r="J277" s="20" t="str">
        <f t="shared" si="2"/>
        <v/>
      </c>
      <c r="K277" s="20"/>
      <c r="L277" s="20" t="str">
        <f t="shared" si="3"/>
        <v/>
      </c>
      <c r="M277" s="18"/>
      <c r="N277" s="21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</row>
    <row r="278">
      <c r="A278" s="8" t="s">
        <v>54</v>
      </c>
      <c r="B278" s="29">
        <v>2019.0</v>
      </c>
      <c r="C278" s="10" t="s">
        <v>147</v>
      </c>
      <c r="D278" s="10" t="s">
        <v>148</v>
      </c>
      <c r="E278" s="18"/>
      <c r="F278" s="18"/>
      <c r="G278" s="12">
        <f>B278</f>
        <v>2019</v>
      </c>
      <c r="H278" s="13" t="str">
        <f>LOWER(left(O278,1)&amp;left(P278,1)&amp;left(Q278,1)&amp;left(R278,1)&amp;left(S278,1)&amp;left(T278,1))&amp;G278</f>
        <v>eadecd2019</v>
      </c>
      <c r="I278" s="20" t="str">
        <f>trim(C278)</f>
        <v>EDUCAÇÃO A DISTÂNCIA E CIÊNCIA DE DADOS: DESENVOLVIMENTO DE MODELOS PREDITIVOS NO RECONHECIMENTO DA EVASÃO ESTUDANTIL</v>
      </c>
      <c r="J278" s="20" t="str">
        <f t="shared" si="2"/>
        <v>Evasão Estudantil</v>
      </c>
      <c r="K278" s="20"/>
      <c r="L278" s="20" t="str">
        <f t="shared" si="3"/>
        <v>evasão estudantil</v>
      </c>
      <c r="M278" s="18"/>
      <c r="N278" s="21" t="str">
        <f>IFERROR(__xludf.DUMMYFUNCTION("TRANSPOSE(split(D278,"";"",true,true))"),"Evasão Estudantil")</f>
        <v>Evasão Estudantil</v>
      </c>
      <c r="O278" s="6" t="str">
        <f>IFERROR(__xludf.DUMMYFUNCTION("split(C278,"" "")"),"EDUCAÇÃO")</f>
        <v>EDUCAÇÃO</v>
      </c>
      <c r="P278" s="18" t="str">
        <f>IFERROR(__xludf.DUMMYFUNCTION("""COMPUTED_VALUE"""),"A")</f>
        <v>A</v>
      </c>
      <c r="Q278" s="18" t="str">
        <f>IFERROR(__xludf.DUMMYFUNCTION("""COMPUTED_VALUE"""),"DISTÂNCIA")</f>
        <v>DISTÂNCIA</v>
      </c>
      <c r="R278" s="18" t="str">
        <f>IFERROR(__xludf.DUMMYFUNCTION("""COMPUTED_VALUE"""),"E")</f>
        <v>E</v>
      </c>
      <c r="S278" s="18" t="str">
        <f>IFERROR(__xludf.DUMMYFUNCTION("""COMPUTED_VALUE"""),"CIÊNCIA")</f>
        <v>CIÊNCIA</v>
      </c>
      <c r="T278" s="18" t="str">
        <f>IFERROR(__xludf.DUMMYFUNCTION("""COMPUTED_VALUE"""),"DE")</f>
        <v>DE</v>
      </c>
      <c r="U278" s="18" t="str">
        <f>IFERROR(__xludf.DUMMYFUNCTION("""COMPUTED_VALUE"""),"DADOS:")</f>
        <v>DADOS:</v>
      </c>
      <c r="V278" s="18" t="str">
        <f>IFERROR(__xludf.DUMMYFUNCTION("""COMPUTED_VALUE"""),"DESENVOLVIMENTO")</f>
        <v>DESENVOLVIMENTO</v>
      </c>
      <c r="W278" s="18" t="str">
        <f>IFERROR(__xludf.DUMMYFUNCTION("""COMPUTED_VALUE"""),"DE")</f>
        <v>DE</v>
      </c>
      <c r="X278" s="18" t="str">
        <f>IFERROR(__xludf.DUMMYFUNCTION("""COMPUTED_VALUE"""),"MODELOS")</f>
        <v>MODELOS</v>
      </c>
      <c r="Y278" s="18" t="str">
        <f>IFERROR(__xludf.DUMMYFUNCTION("""COMPUTED_VALUE"""),"PREDITIVOS")</f>
        <v>PREDITIVOS</v>
      </c>
      <c r="Z278" s="18" t="str">
        <f>IFERROR(__xludf.DUMMYFUNCTION("""COMPUTED_VALUE"""),"NO")</f>
        <v>NO</v>
      </c>
      <c r="AA278" s="18" t="str">
        <f>IFERROR(__xludf.DUMMYFUNCTION("""COMPUTED_VALUE"""),"RECONHECIMENTO")</f>
        <v>RECONHECIMENTO</v>
      </c>
      <c r="AB278" s="18" t="str">
        <f>IFERROR(__xludf.DUMMYFUNCTION("""COMPUTED_VALUE"""),"DA")</f>
        <v>DA</v>
      </c>
      <c r="AC278" s="18" t="str">
        <f>IFERROR(__xludf.DUMMYFUNCTION("""COMPUTED_VALUE"""),"EVASÃO")</f>
        <v>EVASÃO</v>
      </c>
      <c r="AD278" s="18" t="str">
        <f>IFERROR(__xludf.DUMMYFUNCTION("""COMPUTED_VALUE"""),"ESTUDANTIL")</f>
        <v>ESTUDANTIL</v>
      </c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</row>
    <row r="279">
      <c r="A279" s="22"/>
      <c r="B279" s="23"/>
      <c r="C279" s="24"/>
      <c r="D279" s="24"/>
      <c r="E279" s="18"/>
      <c r="F279" s="18"/>
      <c r="G279" s="25">
        <f t="shared" ref="G279:I279" si="233">G278</f>
        <v>2019</v>
      </c>
      <c r="H279" s="20" t="str">
        <f t="shared" si="233"/>
        <v>eadecd2019</v>
      </c>
      <c r="I279" s="20" t="str">
        <f t="shared" si="233"/>
        <v>EDUCAÇÃO A DISTÂNCIA E CIÊNCIA DE DADOS: DESENVOLVIMENTO DE MODELOS PREDITIVOS NO RECONHECIMENTO DA EVASÃO ESTUDANTIL</v>
      </c>
      <c r="J279" s="20" t="str">
        <f t="shared" si="2"/>
        <v>Ensino a Distância</v>
      </c>
      <c r="K279" s="20"/>
      <c r="L279" s="20" t="str">
        <f t="shared" si="3"/>
        <v>ensino a distância</v>
      </c>
      <c r="M279" s="18"/>
      <c r="N279" s="21" t="str">
        <f>IFERROR(__xludf.DUMMYFUNCTION("""COMPUTED_VALUE""")," Ensino a Distância")</f>
        <v> Ensino a Distância</v>
      </c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</row>
    <row r="280">
      <c r="A280" s="22"/>
      <c r="B280" s="23"/>
      <c r="C280" s="24"/>
      <c r="D280" s="24"/>
      <c r="E280" s="18"/>
      <c r="F280" s="18"/>
      <c r="G280" s="25">
        <f t="shared" ref="G280:I280" si="234">G279</f>
        <v>2019</v>
      </c>
      <c r="H280" s="20" t="str">
        <f t="shared" si="234"/>
        <v>eadecd2019</v>
      </c>
      <c r="I280" s="20" t="str">
        <f t="shared" si="234"/>
        <v>EDUCAÇÃO A DISTÂNCIA E CIÊNCIA DE DADOS: DESENVOLVIMENTO DE MODELOS PREDITIVOS NO RECONHECIMENTO DA EVASÃO ESTUDANTIL</v>
      </c>
      <c r="J280" s="20" t="str">
        <f t="shared" si="2"/>
        <v>Modelos Preditivos</v>
      </c>
      <c r="K280" s="20"/>
      <c r="L280" s="20" t="str">
        <f t="shared" si="3"/>
        <v>modelos preditivos</v>
      </c>
      <c r="M280" s="18"/>
      <c r="N280" s="21" t="str">
        <f>IFERROR(__xludf.DUMMYFUNCTION("""COMPUTED_VALUE""")," Modelos Preditivos")</f>
        <v> Modelos Preditivos</v>
      </c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</row>
    <row r="281">
      <c r="A281" s="22"/>
      <c r="B281" s="23"/>
      <c r="C281" s="24"/>
      <c r="D281" s="24"/>
      <c r="E281" s="18"/>
      <c r="F281" s="18"/>
      <c r="G281" s="25">
        <f t="shared" ref="G281:I281" si="235">G280</f>
        <v>2019</v>
      </c>
      <c r="H281" s="20" t="str">
        <f t="shared" si="235"/>
        <v>eadecd2019</v>
      </c>
      <c r="I281" s="20" t="str">
        <f t="shared" si="235"/>
        <v>EDUCAÇÃO A DISTÂNCIA E CIÊNCIA DE DADOS: DESENVOLVIMENTO DE MODELOS PREDITIVOS NO RECONHECIMENTO DA EVASÃO ESTUDANTIL</v>
      </c>
      <c r="J281" s="20" t="str">
        <f t="shared" si="2"/>
        <v>Agrupamento de Dados</v>
      </c>
      <c r="K281" s="20"/>
      <c r="L281" s="20" t="str">
        <f t="shared" si="3"/>
        <v>agrupamento de dados</v>
      </c>
      <c r="M281" s="18"/>
      <c r="N281" s="21" t="str">
        <f>IFERROR(__xludf.DUMMYFUNCTION("""COMPUTED_VALUE""")," Agrupamento de Dados")</f>
        <v> Agrupamento de Dados</v>
      </c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</row>
    <row r="282">
      <c r="A282" s="22"/>
      <c r="B282" s="23"/>
      <c r="C282" s="24"/>
      <c r="D282" s="24"/>
      <c r="E282" s="18"/>
      <c r="F282" s="18"/>
      <c r="G282" s="25">
        <f t="shared" ref="G282:I282" si="236">G281</f>
        <v>2019</v>
      </c>
      <c r="H282" s="20" t="str">
        <f t="shared" si="236"/>
        <v>eadecd2019</v>
      </c>
      <c r="I282" s="20" t="str">
        <f t="shared" si="236"/>
        <v>EDUCAÇÃO A DISTÂNCIA E CIÊNCIA DE DADOS: DESENVOLVIMENTO DE MODELOS PREDITIVOS NO RECONHECIMENTO DA EVASÃO ESTUDANTIL</v>
      </c>
      <c r="J282" s="20" t="str">
        <f t="shared" si="2"/>
        <v>Ciência de Dados</v>
      </c>
      <c r="K282" s="20"/>
      <c r="L282" s="20" t="str">
        <f t="shared" si="3"/>
        <v>ciência de dados</v>
      </c>
      <c r="M282" s="18"/>
      <c r="N282" s="21" t="str">
        <f>IFERROR(__xludf.DUMMYFUNCTION("""COMPUTED_VALUE""")," Ciência de Dados")</f>
        <v> Ciência de Dados</v>
      </c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</row>
    <row r="283">
      <c r="A283" s="8"/>
      <c r="B283" s="23"/>
      <c r="C283" s="24"/>
      <c r="D283" s="24"/>
      <c r="E283" s="18"/>
      <c r="F283" s="18"/>
      <c r="G283" s="25">
        <f t="shared" ref="G283:I283" si="237">G282</f>
        <v>2019</v>
      </c>
      <c r="H283" s="20" t="str">
        <f t="shared" si="237"/>
        <v>eadecd2019</v>
      </c>
      <c r="I283" s="20" t="str">
        <f t="shared" si="237"/>
        <v>EDUCAÇÃO A DISTÂNCIA E CIÊNCIA DE DADOS: DESENVOLVIMENTO DE MODELOS PREDITIVOS NO RECONHECIMENTO DA EVASÃO ESTUDANTIL</v>
      </c>
      <c r="J283" s="20" t="str">
        <f t="shared" si="2"/>
        <v/>
      </c>
      <c r="K283" s="20"/>
      <c r="L283" s="20" t="str">
        <f t="shared" si="3"/>
        <v/>
      </c>
      <c r="M283" s="18"/>
      <c r="N283" s="21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</row>
    <row r="284">
      <c r="A284" s="8" t="s">
        <v>54</v>
      </c>
      <c r="B284" s="29">
        <v>2019.0</v>
      </c>
      <c r="C284" s="10" t="s">
        <v>149</v>
      </c>
      <c r="D284" s="10" t="s">
        <v>150</v>
      </c>
      <c r="E284" s="18"/>
      <c r="F284" s="18"/>
      <c r="G284" s="12">
        <f>B284</f>
        <v>2019</v>
      </c>
      <c r="H284" s="13" t="str">
        <f>LOWER(left(O284,1)&amp;left(P284,1)&amp;left(Q284,1)&amp;left(R284,1)&amp;left(S284,1)&amp;left(T284,1))&amp;G284</f>
        <v>edgaàl2019</v>
      </c>
      <c r="I284" s="20" t="str">
        <f>trim(C284)</f>
        <v>E-SCIENCE: DADOS GOVERNAMENTAIS ABERTOS À LUZ DA CIÊNCIA DA INFORMAÇÃO</v>
      </c>
      <c r="J284" s="20" t="str">
        <f t="shared" si="2"/>
        <v>Paradigma dos dados</v>
      </c>
      <c r="K284" s="20"/>
      <c r="L284" s="20" t="str">
        <f t="shared" si="3"/>
        <v>paradigma dos dados</v>
      </c>
      <c r="M284" s="18"/>
      <c r="N284" s="21" t="str">
        <f>IFERROR(__xludf.DUMMYFUNCTION("TRANSPOSE(split(D284,"";"",true,true))"),"Paradigma dos dados")</f>
        <v>Paradigma dos dados</v>
      </c>
      <c r="O284" s="6" t="str">
        <f>IFERROR(__xludf.DUMMYFUNCTION("split(C284,"" "")"),"E-SCIENCE:")</f>
        <v>E-SCIENCE:</v>
      </c>
      <c r="P284" s="18" t="str">
        <f>IFERROR(__xludf.DUMMYFUNCTION("""COMPUTED_VALUE"""),"DADOS")</f>
        <v>DADOS</v>
      </c>
      <c r="Q284" s="18" t="str">
        <f>IFERROR(__xludf.DUMMYFUNCTION("""COMPUTED_VALUE"""),"GOVERNAMENTAIS")</f>
        <v>GOVERNAMENTAIS</v>
      </c>
      <c r="R284" s="18" t="str">
        <f>IFERROR(__xludf.DUMMYFUNCTION("""COMPUTED_VALUE"""),"ABERTOS")</f>
        <v>ABERTOS</v>
      </c>
      <c r="S284" s="18" t="str">
        <f>IFERROR(__xludf.DUMMYFUNCTION("""COMPUTED_VALUE"""),"À")</f>
        <v>À</v>
      </c>
      <c r="T284" s="18" t="str">
        <f>IFERROR(__xludf.DUMMYFUNCTION("""COMPUTED_VALUE"""),"LUZ")</f>
        <v>LUZ</v>
      </c>
      <c r="U284" s="18" t="str">
        <f>IFERROR(__xludf.DUMMYFUNCTION("""COMPUTED_VALUE"""),"DA")</f>
        <v>DA</v>
      </c>
      <c r="V284" s="18" t="str">
        <f>IFERROR(__xludf.DUMMYFUNCTION("""COMPUTED_VALUE"""),"CIÊNCIA")</f>
        <v>CIÊNCIA</v>
      </c>
      <c r="W284" s="18" t="str">
        <f>IFERROR(__xludf.DUMMYFUNCTION("""COMPUTED_VALUE"""),"DA")</f>
        <v>DA</v>
      </c>
      <c r="X284" s="18" t="str">
        <f>IFERROR(__xludf.DUMMYFUNCTION("""COMPUTED_VALUE"""),"INFORMAÇÃO")</f>
        <v>INFORMAÇÃO</v>
      </c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</row>
    <row r="285">
      <c r="A285" s="22"/>
      <c r="B285" s="23"/>
      <c r="C285" s="24"/>
      <c r="D285" s="24"/>
      <c r="E285" s="18"/>
      <c r="F285" s="18"/>
      <c r="G285" s="25">
        <f t="shared" ref="G285:I285" si="238">G284</f>
        <v>2019</v>
      </c>
      <c r="H285" s="20" t="str">
        <f t="shared" si="238"/>
        <v>edgaàl2019</v>
      </c>
      <c r="I285" s="20" t="str">
        <f t="shared" si="238"/>
        <v>E-SCIENCE: DADOS GOVERNAMENTAIS ABERTOS À LUZ DA CIÊNCIA DA INFORMAÇÃO</v>
      </c>
      <c r="J285" s="20" t="str">
        <f t="shared" si="2"/>
        <v>Dados Abertos</v>
      </c>
      <c r="K285" s="20"/>
      <c r="L285" s="20" t="str">
        <f t="shared" si="3"/>
        <v>dados abertos</v>
      </c>
      <c r="M285" s="18"/>
      <c r="N285" s="21" t="str">
        <f>IFERROR(__xludf.DUMMYFUNCTION("""COMPUTED_VALUE""")," Dados Abertos")</f>
        <v> Dados Abertos</v>
      </c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</row>
    <row r="286">
      <c r="A286" s="22"/>
      <c r="B286" s="23"/>
      <c r="C286" s="24"/>
      <c r="D286" s="24"/>
      <c r="E286" s="18"/>
      <c r="F286" s="18"/>
      <c r="G286" s="25">
        <f t="shared" ref="G286:I286" si="239">G285</f>
        <v>2019</v>
      </c>
      <c r="H286" s="20" t="str">
        <f t="shared" si="239"/>
        <v>edgaàl2019</v>
      </c>
      <c r="I286" s="20" t="str">
        <f t="shared" si="239"/>
        <v>E-SCIENCE: DADOS GOVERNAMENTAIS ABERTOS À LUZ DA CIÊNCIA DA INFORMAÇÃO</v>
      </c>
      <c r="J286" s="20" t="str">
        <f t="shared" si="2"/>
        <v>Ciência da Informação</v>
      </c>
      <c r="K286" s="20"/>
      <c r="L286" s="20" t="str">
        <f t="shared" si="3"/>
        <v>ciência da informação</v>
      </c>
      <c r="M286" s="18"/>
      <c r="N286" s="21" t="str">
        <f>IFERROR(__xludf.DUMMYFUNCTION("""COMPUTED_VALUE""")," Ciência da Informação")</f>
        <v> Ciência da Informação</v>
      </c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</row>
    <row r="287">
      <c r="A287" s="22"/>
      <c r="B287" s="23"/>
      <c r="C287" s="24"/>
      <c r="D287" s="24"/>
      <c r="E287" s="18"/>
      <c r="F287" s="18"/>
      <c r="G287" s="25">
        <f t="shared" ref="G287:I287" si="240">G286</f>
        <v>2019</v>
      </c>
      <c r="H287" s="20" t="str">
        <f t="shared" si="240"/>
        <v>edgaàl2019</v>
      </c>
      <c r="I287" s="20" t="str">
        <f t="shared" si="240"/>
        <v>E-SCIENCE: DADOS GOVERNAMENTAIS ABERTOS À LUZ DA CIÊNCIA DA INFORMAÇÃO</v>
      </c>
      <c r="J287" s="20" t="str">
        <f t="shared" si="2"/>
        <v/>
      </c>
      <c r="K287" s="20"/>
      <c r="L287" s="20" t="str">
        <f t="shared" si="3"/>
        <v/>
      </c>
      <c r="M287" s="18"/>
      <c r="N287" s="21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</row>
    <row r="288">
      <c r="A288" s="22"/>
      <c r="B288" s="23"/>
      <c r="C288" s="24"/>
      <c r="D288" s="24"/>
      <c r="E288" s="18"/>
      <c r="F288" s="18"/>
      <c r="G288" s="25">
        <f t="shared" ref="G288:I288" si="241">G287</f>
        <v>2019</v>
      </c>
      <c r="H288" s="20" t="str">
        <f t="shared" si="241"/>
        <v>edgaàl2019</v>
      </c>
      <c r="I288" s="20" t="str">
        <f t="shared" si="241"/>
        <v>E-SCIENCE: DADOS GOVERNAMENTAIS ABERTOS À LUZ DA CIÊNCIA DA INFORMAÇÃO</v>
      </c>
      <c r="J288" s="20" t="str">
        <f t="shared" si="2"/>
        <v/>
      </c>
      <c r="K288" s="20"/>
      <c r="L288" s="20" t="str">
        <f t="shared" si="3"/>
        <v/>
      </c>
      <c r="M288" s="18"/>
      <c r="N288" s="21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</row>
    <row r="289">
      <c r="A289" s="8"/>
      <c r="B289" s="23"/>
      <c r="C289" s="24"/>
      <c r="D289" s="24"/>
      <c r="E289" s="18"/>
      <c r="F289" s="18"/>
      <c r="G289" s="25">
        <f t="shared" ref="G289:I289" si="242">G288</f>
        <v>2019</v>
      </c>
      <c r="H289" s="20" t="str">
        <f t="shared" si="242"/>
        <v>edgaàl2019</v>
      </c>
      <c r="I289" s="20" t="str">
        <f t="shared" si="242"/>
        <v>E-SCIENCE: DADOS GOVERNAMENTAIS ABERTOS À LUZ DA CIÊNCIA DA INFORMAÇÃO</v>
      </c>
      <c r="J289" s="20" t="str">
        <f t="shared" si="2"/>
        <v/>
      </c>
      <c r="K289" s="20"/>
      <c r="L289" s="20" t="str">
        <f t="shared" si="3"/>
        <v/>
      </c>
      <c r="M289" s="18"/>
      <c r="N289" s="21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</row>
    <row r="290">
      <c r="A290" s="8" t="s">
        <v>54</v>
      </c>
      <c r="B290" s="29">
        <v>2019.0</v>
      </c>
      <c r="C290" s="10" t="s">
        <v>151</v>
      </c>
      <c r="D290" s="10" t="s">
        <v>152</v>
      </c>
      <c r="E290" s="18"/>
      <c r="F290" s="18"/>
      <c r="G290" s="12">
        <f>B290</f>
        <v>2019</v>
      </c>
      <c r="H290" s="13" t="str">
        <f>LOWER(left(O290,1)&amp;left(P290,1)&amp;left(Q290,1)&amp;left(R290,1)&amp;left(S290,1)&amp;left(T290,1))&amp;G290</f>
        <v>ecsnwc2019</v>
      </c>
      <c r="I290" s="20" t="str">
        <f>trim(C290)</f>
        <v>EXPLORANDO CONSULTAS SPARQL NA WIKIDATA COM PYTHON: TIPIFICAÇÃO DE METADADOS E RECONCILIAÇÃO DE DADOS</v>
      </c>
      <c r="J290" s="20" t="str">
        <f t="shared" si="2"/>
        <v>Wikidata</v>
      </c>
      <c r="K290" s="20"/>
      <c r="L290" s="20" t="str">
        <f t="shared" si="3"/>
        <v>wikidata</v>
      </c>
      <c r="M290" s="18"/>
      <c r="N290" s="21" t="str">
        <f>IFERROR(__xludf.DUMMYFUNCTION("TRANSPOSE(split(D290,"";"",true,true))"),"Wikidata")</f>
        <v>Wikidata</v>
      </c>
      <c r="O290" s="6" t="str">
        <f>IFERROR(__xludf.DUMMYFUNCTION("split(C290,"" "")"),"EXPLORANDO")</f>
        <v>EXPLORANDO</v>
      </c>
      <c r="P290" s="18" t="str">
        <f>IFERROR(__xludf.DUMMYFUNCTION("""COMPUTED_VALUE"""),"CONSULTAS")</f>
        <v>CONSULTAS</v>
      </c>
      <c r="Q290" s="18" t="str">
        <f>IFERROR(__xludf.DUMMYFUNCTION("""COMPUTED_VALUE"""),"SPARQL")</f>
        <v>SPARQL</v>
      </c>
      <c r="R290" s="18" t="str">
        <f>IFERROR(__xludf.DUMMYFUNCTION("""COMPUTED_VALUE"""),"NA")</f>
        <v>NA</v>
      </c>
      <c r="S290" s="18" t="str">
        <f>IFERROR(__xludf.DUMMYFUNCTION("""COMPUTED_VALUE"""),"WIKIDATA")</f>
        <v>WIKIDATA</v>
      </c>
      <c r="T290" s="18" t="str">
        <f>IFERROR(__xludf.DUMMYFUNCTION("""COMPUTED_VALUE"""),"COM")</f>
        <v>COM</v>
      </c>
      <c r="U290" s="18" t="str">
        <f>IFERROR(__xludf.DUMMYFUNCTION("""COMPUTED_VALUE"""),"PYTHON:")</f>
        <v>PYTHON:</v>
      </c>
      <c r="V290" s="18" t="str">
        <f>IFERROR(__xludf.DUMMYFUNCTION("""COMPUTED_VALUE"""),"TIPIFICAÇÃO")</f>
        <v>TIPIFICAÇÃO</v>
      </c>
      <c r="W290" s="18" t="str">
        <f>IFERROR(__xludf.DUMMYFUNCTION("""COMPUTED_VALUE"""),"DE")</f>
        <v>DE</v>
      </c>
      <c r="X290" s="18" t="str">
        <f>IFERROR(__xludf.DUMMYFUNCTION("""COMPUTED_VALUE"""),"METADADOS")</f>
        <v>METADADOS</v>
      </c>
      <c r="Y290" s="18" t="str">
        <f>IFERROR(__xludf.DUMMYFUNCTION("""COMPUTED_VALUE"""),"E")</f>
        <v>E</v>
      </c>
      <c r="Z290" s="18" t="str">
        <f>IFERROR(__xludf.DUMMYFUNCTION("""COMPUTED_VALUE"""),"RECONCILIAÇÃO")</f>
        <v>RECONCILIAÇÃO</v>
      </c>
      <c r="AA290" s="18" t="str">
        <f>IFERROR(__xludf.DUMMYFUNCTION("""COMPUTED_VALUE"""),"DE")</f>
        <v>DE</v>
      </c>
      <c r="AB290" s="18" t="str">
        <f>IFERROR(__xludf.DUMMYFUNCTION("""COMPUTED_VALUE"""),"DADOS")</f>
        <v>DADOS</v>
      </c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</row>
    <row r="291">
      <c r="A291" s="22"/>
      <c r="B291" s="23"/>
      <c r="C291" s="24"/>
      <c r="D291" s="24"/>
      <c r="E291" s="18"/>
      <c r="F291" s="18"/>
      <c r="G291" s="25">
        <f t="shared" ref="G291:I291" si="243">G290</f>
        <v>2019</v>
      </c>
      <c r="H291" s="20" t="str">
        <f t="shared" si="243"/>
        <v>ecsnwc2019</v>
      </c>
      <c r="I291" s="20" t="str">
        <f t="shared" si="243"/>
        <v>EXPLORANDO CONSULTAS SPARQL NA WIKIDATA COM PYTHON: TIPIFICAÇÃO DE METADADOS E RECONCILIAÇÃO DE DADOS</v>
      </c>
      <c r="J291" s="20" t="str">
        <f t="shared" si="2"/>
        <v>SPARQL</v>
      </c>
      <c r="K291" s="20"/>
      <c r="L291" s="20" t="str">
        <f t="shared" si="3"/>
        <v>sparql</v>
      </c>
      <c r="M291" s="18"/>
      <c r="N291" s="21" t="str">
        <f>IFERROR(__xludf.DUMMYFUNCTION("""COMPUTED_VALUE""")," SPARQL")</f>
        <v> SPARQL</v>
      </c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</row>
    <row r="292">
      <c r="A292" s="22"/>
      <c r="B292" s="23"/>
      <c r="C292" s="24"/>
      <c r="D292" s="24"/>
      <c r="E292" s="18"/>
      <c r="F292" s="18"/>
      <c r="G292" s="25">
        <f t="shared" ref="G292:I292" si="244">G291</f>
        <v>2019</v>
      </c>
      <c r="H292" s="20" t="str">
        <f t="shared" si="244"/>
        <v>ecsnwc2019</v>
      </c>
      <c r="I292" s="20" t="str">
        <f t="shared" si="244"/>
        <v>EXPLORANDO CONSULTAS SPARQL NA WIKIDATA COM PYTHON: TIPIFICAÇÃO DE METADADOS E RECONCILIAÇÃO DE DADOS</v>
      </c>
      <c r="J292" s="20" t="str">
        <f t="shared" si="2"/>
        <v>Reconciliação</v>
      </c>
      <c r="K292" s="20"/>
      <c r="L292" s="20" t="str">
        <f t="shared" si="3"/>
        <v>reconciliação</v>
      </c>
      <c r="M292" s="18"/>
      <c r="N292" s="21" t="str">
        <f>IFERROR(__xludf.DUMMYFUNCTION("""COMPUTED_VALUE""")," Reconciliação")</f>
        <v> Reconciliação</v>
      </c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</row>
    <row r="293">
      <c r="A293" s="22"/>
      <c r="B293" s="23"/>
      <c r="C293" s="24"/>
      <c r="D293" s="24"/>
      <c r="E293" s="18"/>
      <c r="F293" s="18"/>
      <c r="G293" s="25">
        <f t="shared" ref="G293:I293" si="245">G292</f>
        <v>2019</v>
      </c>
      <c r="H293" s="20" t="str">
        <f t="shared" si="245"/>
        <v>ecsnwc2019</v>
      </c>
      <c r="I293" s="20" t="str">
        <f t="shared" si="245"/>
        <v>EXPLORANDO CONSULTAS SPARQL NA WIKIDATA COM PYTHON: TIPIFICAÇÃO DE METADADOS E RECONCILIAÇÃO DE DADOS</v>
      </c>
      <c r="J293" s="20" t="str">
        <f t="shared" si="2"/>
        <v>Python</v>
      </c>
      <c r="K293" s="20"/>
      <c r="L293" s="20" t="str">
        <f t="shared" si="3"/>
        <v>python</v>
      </c>
      <c r="M293" s="18"/>
      <c r="N293" s="21" t="str">
        <f>IFERROR(__xludf.DUMMYFUNCTION("""COMPUTED_VALUE""")," Python")</f>
        <v> Python</v>
      </c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</row>
    <row r="294">
      <c r="A294" s="22"/>
      <c r="B294" s="23"/>
      <c r="C294" s="24"/>
      <c r="D294" s="24"/>
      <c r="E294" s="18"/>
      <c r="F294" s="18"/>
      <c r="G294" s="25">
        <f t="shared" ref="G294:I294" si="246">G293</f>
        <v>2019</v>
      </c>
      <c r="H294" s="20" t="str">
        <f t="shared" si="246"/>
        <v>ecsnwc2019</v>
      </c>
      <c r="I294" s="20" t="str">
        <f t="shared" si="246"/>
        <v>EXPLORANDO CONSULTAS SPARQL NA WIKIDATA COM PYTHON: TIPIFICAÇÃO DE METADADOS E RECONCILIAÇÃO DE DADOS</v>
      </c>
      <c r="J294" s="20" t="str">
        <f t="shared" si="2"/>
        <v/>
      </c>
      <c r="K294" s="20"/>
      <c r="L294" s="20" t="str">
        <f t="shared" si="3"/>
        <v/>
      </c>
      <c r="M294" s="18"/>
      <c r="N294" s="21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</row>
    <row r="295">
      <c r="A295" s="8"/>
      <c r="B295" s="23"/>
      <c r="C295" s="24"/>
      <c r="D295" s="24"/>
      <c r="E295" s="18"/>
      <c r="F295" s="18"/>
      <c r="G295" s="25">
        <f t="shared" ref="G295:I295" si="247">G294</f>
        <v>2019</v>
      </c>
      <c r="H295" s="20" t="str">
        <f t="shared" si="247"/>
        <v>ecsnwc2019</v>
      </c>
      <c r="I295" s="20" t="str">
        <f t="shared" si="247"/>
        <v>EXPLORANDO CONSULTAS SPARQL NA WIKIDATA COM PYTHON: TIPIFICAÇÃO DE METADADOS E RECONCILIAÇÃO DE DADOS</v>
      </c>
      <c r="J295" s="20" t="str">
        <f t="shared" si="2"/>
        <v/>
      </c>
      <c r="K295" s="20"/>
      <c r="L295" s="20" t="str">
        <f t="shared" si="3"/>
        <v/>
      </c>
      <c r="M295" s="18"/>
      <c r="N295" s="21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</row>
    <row r="296">
      <c r="A296" s="8" t="s">
        <v>54</v>
      </c>
      <c r="B296" s="29">
        <v>2019.0</v>
      </c>
      <c r="C296" s="10" t="s">
        <v>153</v>
      </c>
      <c r="D296" s="10" t="s">
        <v>154</v>
      </c>
      <c r="E296" s="18"/>
      <c r="F296" s="18"/>
      <c r="G296" s="12">
        <f>B296</f>
        <v>2019</v>
      </c>
      <c r="H296" s="13" t="str">
        <f>LOWER(left(O296,1)&amp;left(P296,1)&amp;left(Q296,1)&amp;left(R296,1)&amp;left(S296,1)&amp;left(T296,1))&amp;G296</f>
        <v>edtapt2019</v>
      </c>
      <c r="I296" s="20" t="str">
        <f>trim(C296)</f>
        <v>EXTRAÇÃO DE TÓPICOS APOIADA POR TÉCNICAS DE APRENDIZADO DE MÁQUINA EM REPOSITÓRIOS DIGITAIS: UM PRINCÍPIO PARA CONSTRUÇÃO SEMIAUTOMÁTICA DE ONTOLOGIAS</v>
      </c>
      <c r="J296" s="20" t="str">
        <f t="shared" si="2"/>
        <v>Aprendizado de Ontologia</v>
      </c>
      <c r="K296" s="20"/>
      <c r="L296" s="20" t="str">
        <f t="shared" si="3"/>
        <v>aprendizado de ontologia</v>
      </c>
      <c r="M296" s="18"/>
      <c r="N296" s="21" t="str">
        <f>IFERROR(__xludf.DUMMYFUNCTION("TRANSPOSE(split(D296,"";"",true,true))"),"Aprendizado de Ontologia")</f>
        <v>Aprendizado de Ontologia</v>
      </c>
      <c r="O296" s="6" t="str">
        <f>IFERROR(__xludf.DUMMYFUNCTION("split(C296,"" "")"),"EXTRAÇÃO")</f>
        <v>EXTRAÇÃO</v>
      </c>
      <c r="P296" s="18" t="str">
        <f>IFERROR(__xludf.DUMMYFUNCTION("""COMPUTED_VALUE"""),"DE")</f>
        <v>DE</v>
      </c>
      <c r="Q296" s="18" t="str">
        <f>IFERROR(__xludf.DUMMYFUNCTION("""COMPUTED_VALUE"""),"TÓPICOS")</f>
        <v>TÓPICOS</v>
      </c>
      <c r="R296" s="18" t="str">
        <f>IFERROR(__xludf.DUMMYFUNCTION("""COMPUTED_VALUE"""),"APOIADA")</f>
        <v>APOIADA</v>
      </c>
      <c r="S296" s="18" t="str">
        <f>IFERROR(__xludf.DUMMYFUNCTION("""COMPUTED_VALUE"""),"POR")</f>
        <v>POR</v>
      </c>
      <c r="T296" s="18" t="str">
        <f>IFERROR(__xludf.DUMMYFUNCTION("""COMPUTED_VALUE"""),"TÉCNICAS")</f>
        <v>TÉCNICAS</v>
      </c>
      <c r="U296" s="18" t="str">
        <f>IFERROR(__xludf.DUMMYFUNCTION("""COMPUTED_VALUE"""),"DE")</f>
        <v>DE</v>
      </c>
      <c r="V296" s="18" t="str">
        <f>IFERROR(__xludf.DUMMYFUNCTION("""COMPUTED_VALUE"""),"APRENDIZADO")</f>
        <v>APRENDIZADO</v>
      </c>
      <c r="W296" s="18" t="str">
        <f>IFERROR(__xludf.DUMMYFUNCTION("""COMPUTED_VALUE"""),"DE")</f>
        <v>DE</v>
      </c>
      <c r="X296" s="18" t="str">
        <f>IFERROR(__xludf.DUMMYFUNCTION("""COMPUTED_VALUE"""),"MÁQUINA")</f>
        <v>MÁQUINA</v>
      </c>
      <c r="Y296" s="18" t="str">
        <f>IFERROR(__xludf.DUMMYFUNCTION("""COMPUTED_VALUE"""),"EM")</f>
        <v>EM</v>
      </c>
      <c r="Z296" s="18" t="str">
        <f>IFERROR(__xludf.DUMMYFUNCTION("""COMPUTED_VALUE"""),"REPOSITÓRIOS")</f>
        <v>REPOSITÓRIOS</v>
      </c>
      <c r="AA296" s="18" t="str">
        <f>IFERROR(__xludf.DUMMYFUNCTION("""COMPUTED_VALUE"""),"DIGITAIS:")</f>
        <v>DIGITAIS:</v>
      </c>
      <c r="AB296" s="18" t="str">
        <f>IFERROR(__xludf.DUMMYFUNCTION("""COMPUTED_VALUE"""),"UM")</f>
        <v>UM</v>
      </c>
      <c r="AC296" s="18" t="str">
        <f>IFERROR(__xludf.DUMMYFUNCTION("""COMPUTED_VALUE"""),"PRINCÍPIO")</f>
        <v>PRINCÍPIO</v>
      </c>
      <c r="AD296" s="18" t="str">
        <f>IFERROR(__xludf.DUMMYFUNCTION("""COMPUTED_VALUE"""),"PARA")</f>
        <v>PARA</v>
      </c>
      <c r="AE296" s="18" t="str">
        <f>IFERROR(__xludf.DUMMYFUNCTION("""COMPUTED_VALUE"""),"CONSTRUÇÃO")</f>
        <v>CONSTRUÇÃO</v>
      </c>
      <c r="AF296" s="18" t="str">
        <f>IFERROR(__xludf.DUMMYFUNCTION("""COMPUTED_VALUE"""),"SEMIAUTOMÁTICA")</f>
        <v>SEMIAUTOMÁTICA</v>
      </c>
      <c r="AG296" s="18" t="str">
        <f>IFERROR(__xludf.DUMMYFUNCTION("""COMPUTED_VALUE"""),"DE")</f>
        <v>DE</v>
      </c>
      <c r="AH296" s="18" t="str">
        <f>IFERROR(__xludf.DUMMYFUNCTION("""COMPUTED_VALUE"""),"ONTOLOGIAS")</f>
        <v>ONTOLOGIAS</v>
      </c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</row>
    <row r="297">
      <c r="A297" s="22"/>
      <c r="B297" s="23"/>
      <c r="C297" s="24"/>
      <c r="D297" s="24"/>
      <c r="E297" s="18"/>
      <c r="F297" s="18"/>
      <c r="G297" s="25">
        <f t="shared" ref="G297:I297" si="248">G296</f>
        <v>2019</v>
      </c>
      <c r="H297" s="20" t="str">
        <f t="shared" si="248"/>
        <v>edtapt2019</v>
      </c>
      <c r="I297" s="20" t="str">
        <f t="shared" si="248"/>
        <v>EXTRAÇÃO DE TÓPICOS APOIADA POR TÉCNICAS DE APRENDIZADO DE MÁQUINA EM REPOSITÓRIOS DIGITAIS: UM PRINCÍPIO PARA CONSTRUÇÃO SEMIAUTOMÁTICA DE ONTOLOGIAS</v>
      </c>
      <c r="J297" s="20" t="str">
        <f t="shared" si="2"/>
        <v>Modelo de Tópicos</v>
      </c>
      <c r="K297" s="20"/>
      <c r="L297" s="20" t="str">
        <f t="shared" si="3"/>
        <v>modelo de tópicos</v>
      </c>
      <c r="M297" s="18"/>
      <c r="N297" s="21" t="str">
        <f>IFERROR(__xludf.DUMMYFUNCTION("""COMPUTED_VALUE""")," Modelo de Tópicos")</f>
        <v> Modelo de Tópicos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</row>
    <row r="298">
      <c r="A298" s="22"/>
      <c r="B298" s="23"/>
      <c r="C298" s="24"/>
      <c r="D298" s="24"/>
      <c r="E298" s="18"/>
      <c r="F298" s="18"/>
      <c r="G298" s="25">
        <f t="shared" ref="G298:I298" si="249">G297</f>
        <v>2019</v>
      </c>
      <c r="H298" s="20" t="str">
        <f t="shared" si="249"/>
        <v>edtapt2019</v>
      </c>
      <c r="I298" s="20" t="str">
        <f t="shared" si="249"/>
        <v>EXTRAÇÃO DE TÓPICOS APOIADA POR TÉCNICAS DE APRENDIZADO DE MÁQUINA EM REPOSITÓRIOS DIGITAIS: UM PRINCÍPIO PARA CONSTRUÇÃO SEMIAUTOMÁTICA DE ONTOLOGIAS</v>
      </c>
      <c r="J298" s="20" t="str">
        <f t="shared" si="2"/>
        <v>Repositórios Digitais</v>
      </c>
      <c r="K298" s="20"/>
      <c r="L298" s="20" t="str">
        <f t="shared" si="3"/>
        <v>repositórios digitais</v>
      </c>
      <c r="M298" s="18"/>
      <c r="N298" s="21" t="str">
        <f>IFERROR(__xludf.DUMMYFUNCTION("""COMPUTED_VALUE""")," Repositórios Digitais")</f>
        <v> Repositórios Digitais</v>
      </c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</row>
    <row r="299">
      <c r="A299" s="22"/>
      <c r="B299" s="23"/>
      <c r="C299" s="24"/>
      <c r="D299" s="24"/>
      <c r="E299" s="18"/>
      <c r="F299" s="18"/>
      <c r="G299" s="25">
        <f t="shared" ref="G299:I299" si="250">G298</f>
        <v>2019</v>
      </c>
      <c r="H299" s="20" t="str">
        <f t="shared" si="250"/>
        <v>edtapt2019</v>
      </c>
      <c r="I299" s="20" t="str">
        <f t="shared" si="250"/>
        <v>EXTRAÇÃO DE TÓPICOS APOIADA POR TÉCNICAS DE APRENDIZADO DE MÁQUINA EM REPOSITÓRIOS DIGITAIS: UM PRINCÍPIO PARA CONSTRUÇÃO SEMIAUTOMÁTICA DE ONTOLOGIAS</v>
      </c>
      <c r="J299" s="20" t="str">
        <f t="shared" si="2"/>
        <v>Latent Dirichlet Allocation</v>
      </c>
      <c r="K299" s="20"/>
      <c r="L299" s="20" t="str">
        <f t="shared" si="3"/>
        <v>latent dirichlet allocation</v>
      </c>
      <c r="M299" s="18"/>
      <c r="N299" s="21" t="str">
        <f>IFERROR(__xludf.DUMMYFUNCTION("""COMPUTED_VALUE""")," Latent Dirichlet Allocation")</f>
        <v> Latent Dirichlet Allocation</v>
      </c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</row>
    <row r="300">
      <c r="A300" s="22"/>
      <c r="B300" s="23"/>
      <c r="C300" s="24"/>
      <c r="D300" s="24"/>
      <c r="E300" s="18"/>
      <c r="F300" s="18"/>
      <c r="G300" s="25">
        <f t="shared" ref="G300:I300" si="251">G299</f>
        <v>2019</v>
      </c>
      <c r="H300" s="20" t="str">
        <f t="shared" si="251"/>
        <v>edtapt2019</v>
      </c>
      <c r="I300" s="20" t="str">
        <f t="shared" si="251"/>
        <v>EXTRAÇÃO DE TÓPICOS APOIADA POR TÉCNICAS DE APRENDIZADO DE MÁQUINA EM REPOSITÓRIOS DIGITAIS: UM PRINCÍPIO PARA CONSTRUÇÃO SEMIAUTOMÁTICA DE ONTOLOGIAS</v>
      </c>
      <c r="J300" s="20" t="str">
        <f t="shared" si="2"/>
        <v>Aprendizado de Máquina</v>
      </c>
      <c r="K300" s="20"/>
      <c r="L300" s="20" t="str">
        <f t="shared" si="3"/>
        <v>aprendizado de máquina</v>
      </c>
      <c r="M300" s="18"/>
      <c r="N300" s="21" t="str">
        <f>IFERROR(__xludf.DUMMYFUNCTION("""COMPUTED_VALUE""")," Aprendizado de Máquina")</f>
        <v> Aprendizado de Máquina</v>
      </c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</row>
    <row r="301">
      <c r="A301" s="8"/>
      <c r="B301" s="23"/>
      <c r="C301" s="24"/>
      <c r="D301" s="24"/>
      <c r="E301" s="18"/>
      <c r="F301" s="18"/>
      <c r="G301" s="25">
        <f t="shared" ref="G301:I301" si="252">G300</f>
        <v>2019</v>
      </c>
      <c r="H301" s="20" t="str">
        <f t="shared" si="252"/>
        <v>edtapt2019</v>
      </c>
      <c r="I301" s="20" t="str">
        <f t="shared" si="252"/>
        <v>EXTRAÇÃO DE TÓPICOS APOIADA POR TÉCNICAS DE APRENDIZADO DE MÁQUINA EM REPOSITÓRIOS DIGITAIS: UM PRINCÍPIO PARA CONSTRUÇÃO SEMIAUTOMÁTICA DE ONTOLOGIAS</v>
      </c>
      <c r="J301" s="20" t="str">
        <f t="shared" si="2"/>
        <v/>
      </c>
      <c r="K301" s="20"/>
      <c r="L301" s="20" t="str">
        <f t="shared" si="3"/>
        <v/>
      </c>
      <c r="M301" s="18"/>
      <c r="N301" s="21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</row>
    <row r="302">
      <c r="A302" s="8" t="s">
        <v>54</v>
      </c>
      <c r="B302" s="29">
        <v>2019.0</v>
      </c>
      <c r="C302" s="10" t="s">
        <v>155</v>
      </c>
      <c r="D302" s="10" t="s">
        <v>156</v>
      </c>
      <c r="E302" s="18"/>
      <c r="F302" s="18"/>
      <c r="G302" s="12">
        <f>B302</f>
        <v>2019</v>
      </c>
      <c r="H302" s="13" t="str">
        <f>LOWER(left(O302,1)&amp;left(P302,1)&amp;left(Q302,1)&amp;left(R302,1)&amp;left(S302,1)&amp;left(T302,1))&amp;G302</f>
        <v>fddpcd2019</v>
      </c>
      <c r="I302" s="20" t="str">
        <f>trim(C302)</f>
        <v>FUSÃO DE DADOS PARA COMPREENSÃO DE FENÔMENOS AMBIENTAIS POR MEIO DE FOTOGRAFIAS</v>
      </c>
      <c r="J302" s="20" t="str">
        <f t="shared" si="2"/>
        <v>Fusão de dados</v>
      </c>
      <c r="K302" s="20"/>
      <c r="L302" s="20" t="str">
        <f t="shared" si="3"/>
        <v>fusão de dados</v>
      </c>
      <c r="M302" s="18"/>
      <c r="N302" s="21" t="str">
        <f>IFERROR(__xludf.DUMMYFUNCTION("TRANSPOSE(split(D302,"";"",true,true))"),"Fusão de dados")</f>
        <v>Fusão de dados</v>
      </c>
      <c r="O302" s="6" t="str">
        <f>IFERROR(__xludf.DUMMYFUNCTION("split(C302,"" "")"),"FUSÃO")</f>
        <v>FUSÃO</v>
      </c>
      <c r="P302" s="18" t="str">
        <f>IFERROR(__xludf.DUMMYFUNCTION("""COMPUTED_VALUE"""),"DE")</f>
        <v>DE</v>
      </c>
      <c r="Q302" s="18" t="str">
        <f>IFERROR(__xludf.DUMMYFUNCTION("""COMPUTED_VALUE"""),"DADOS")</f>
        <v>DADOS</v>
      </c>
      <c r="R302" s="18" t="str">
        <f>IFERROR(__xludf.DUMMYFUNCTION("""COMPUTED_VALUE"""),"PARA")</f>
        <v>PARA</v>
      </c>
      <c r="S302" s="18" t="str">
        <f>IFERROR(__xludf.DUMMYFUNCTION("""COMPUTED_VALUE"""),"COMPREENSÃO")</f>
        <v>COMPREENSÃO</v>
      </c>
      <c r="T302" s="18" t="str">
        <f>IFERROR(__xludf.DUMMYFUNCTION("""COMPUTED_VALUE"""),"DE")</f>
        <v>DE</v>
      </c>
      <c r="U302" s="18" t="str">
        <f>IFERROR(__xludf.DUMMYFUNCTION("""COMPUTED_VALUE"""),"FENÔMENOS")</f>
        <v>FENÔMENOS</v>
      </c>
      <c r="V302" s="18" t="str">
        <f>IFERROR(__xludf.DUMMYFUNCTION("""COMPUTED_VALUE"""),"AMBIENTAIS")</f>
        <v>AMBIENTAIS</v>
      </c>
      <c r="W302" s="18" t="str">
        <f>IFERROR(__xludf.DUMMYFUNCTION("""COMPUTED_VALUE"""),"POR")</f>
        <v>POR</v>
      </c>
      <c r="X302" s="18" t="str">
        <f>IFERROR(__xludf.DUMMYFUNCTION("""COMPUTED_VALUE"""),"MEIO")</f>
        <v>MEIO</v>
      </c>
      <c r="Y302" s="18" t="str">
        <f>IFERROR(__xludf.DUMMYFUNCTION("""COMPUTED_VALUE"""),"DE")</f>
        <v>DE</v>
      </c>
      <c r="Z302" s="18" t="str">
        <f>IFERROR(__xludf.DUMMYFUNCTION("""COMPUTED_VALUE"""),"FOTOGRAFIAS")</f>
        <v>FOTOGRAFIAS</v>
      </c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</row>
    <row r="303">
      <c r="A303" s="22"/>
      <c r="B303" s="23"/>
      <c r="C303" s="24"/>
      <c r="D303" s="24"/>
      <c r="E303" s="18"/>
      <c r="F303" s="18"/>
      <c r="G303" s="25">
        <f t="shared" ref="G303:I303" si="253">G302</f>
        <v>2019</v>
      </c>
      <c r="H303" s="20" t="str">
        <f t="shared" si="253"/>
        <v>fddpcd2019</v>
      </c>
      <c r="I303" s="20" t="str">
        <f t="shared" si="253"/>
        <v>FUSÃO DE DADOS PARA COMPREENSÃO DE FENÔMENOS AMBIENTAIS POR MEIO DE FOTOGRAFIAS</v>
      </c>
      <c r="J303" s="20" t="str">
        <f t="shared" si="2"/>
        <v>Metadados de imagens</v>
      </c>
      <c r="K303" s="20"/>
      <c r="L303" s="20" t="str">
        <f t="shared" si="3"/>
        <v>metadados de imagens</v>
      </c>
      <c r="M303" s="18"/>
      <c r="N303" s="21" t="str">
        <f>IFERROR(__xludf.DUMMYFUNCTION("""COMPUTED_VALUE""")," Metadados de imagens")</f>
        <v> Metadados de imagens</v>
      </c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</row>
    <row r="304">
      <c r="A304" s="22"/>
      <c r="B304" s="23"/>
      <c r="C304" s="24"/>
      <c r="D304" s="24"/>
      <c r="E304" s="18"/>
      <c r="F304" s="18"/>
      <c r="G304" s="25">
        <f t="shared" ref="G304:I304" si="254">G303</f>
        <v>2019</v>
      </c>
      <c r="H304" s="20" t="str">
        <f t="shared" si="254"/>
        <v>fddpcd2019</v>
      </c>
      <c r="I304" s="20" t="str">
        <f t="shared" si="254"/>
        <v>FUSÃO DE DADOS PARA COMPREENSÃO DE FENÔMENOS AMBIENTAIS POR MEIO DE FOTOGRAFIAS</v>
      </c>
      <c r="J304" s="20" t="str">
        <f t="shared" si="2"/>
        <v>Redes neurais</v>
      </c>
      <c r="K304" s="20"/>
      <c r="L304" s="20" t="str">
        <f t="shared" si="3"/>
        <v>redes neurais</v>
      </c>
      <c r="M304" s="18"/>
      <c r="N304" s="21" t="str">
        <f>IFERROR(__xludf.DUMMYFUNCTION("""COMPUTED_VALUE""")," Redes neurais")</f>
        <v> Redes neurais</v>
      </c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</row>
    <row r="305">
      <c r="A305" s="22"/>
      <c r="B305" s="23"/>
      <c r="C305" s="24"/>
      <c r="D305" s="24"/>
      <c r="E305" s="18"/>
      <c r="F305" s="18"/>
      <c r="G305" s="25">
        <f t="shared" ref="G305:I305" si="255">G304</f>
        <v>2019</v>
      </c>
      <c r="H305" s="20" t="str">
        <f t="shared" si="255"/>
        <v>fddpcd2019</v>
      </c>
      <c r="I305" s="20" t="str">
        <f t="shared" si="255"/>
        <v>FUSÃO DE DADOS PARA COMPREENSÃO DE FENÔMENOS AMBIENTAIS POR MEIO DE FOTOGRAFIAS</v>
      </c>
      <c r="J305" s="20" t="str">
        <f t="shared" si="2"/>
        <v>Fotografias</v>
      </c>
      <c r="K305" s="20"/>
      <c r="L305" s="20" t="str">
        <f t="shared" si="3"/>
        <v>fotografias</v>
      </c>
      <c r="M305" s="18"/>
      <c r="N305" s="21" t="str">
        <f>IFERROR(__xludf.DUMMYFUNCTION("""COMPUTED_VALUE""")," Fotografias")</f>
        <v> Fotografias</v>
      </c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</row>
    <row r="306">
      <c r="A306" s="22"/>
      <c r="B306" s="23"/>
      <c r="C306" s="24"/>
      <c r="D306" s="24"/>
      <c r="E306" s="18"/>
      <c r="F306" s="18"/>
      <c r="G306" s="25">
        <f t="shared" ref="G306:I306" si="256">G305</f>
        <v>2019</v>
      </c>
      <c r="H306" s="20" t="str">
        <f t="shared" si="256"/>
        <v>fddpcd2019</v>
      </c>
      <c r="I306" s="20" t="str">
        <f t="shared" si="256"/>
        <v>FUSÃO DE DADOS PARA COMPREENSÃO DE FENÔMENOS AMBIENTAIS POR MEIO DE FOTOGRAFIAS</v>
      </c>
      <c r="J306" s="20" t="str">
        <f t="shared" si="2"/>
        <v/>
      </c>
      <c r="K306" s="20"/>
      <c r="L306" s="20" t="str">
        <f t="shared" si="3"/>
        <v/>
      </c>
      <c r="M306" s="18"/>
      <c r="N306" s="21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</row>
    <row r="307">
      <c r="A307" s="8"/>
      <c r="B307" s="23"/>
      <c r="C307" s="24"/>
      <c r="D307" s="24"/>
      <c r="E307" s="18"/>
      <c r="F307" s="18"/>
      <c r="G307" s="25">
        <f t="shared" ref="G307:I307" si="257">G306</f>
        <v>2019</v>
      </c>
      <c r="H307" s="20" t="str">
        <f t="shared" si="257"/>
        <v>fddpcd2019</v>
      </c>
      <c r="I307" s="20" t="str">
        <f t="shared" si="257"/>
        <v>FUSÃO DE DADOS PARA COMPREENSÃO DE FENÔMENOS AMBIENTAIS POR MEIO DE FOTOGRAFIAS</v>
      </c>
      <c r="J307" s="20" t="str">
        <f t="shared" si="2"/>
        <v/>
      </c>
      <c r="K307" s="20"/>
      <c r="L307" s="20" t="str">
        <f t="shared" si="3"/>
        <v/>
      </c>
      <c r="M307" s="18"/>
      <c r="N307" s="21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</row>
    <row r="308">
      <c r="A308" s="8" t="s">
        <v>54</v>
      </c>
      <c r="B308" s="29">
        <v>2019.0</v>
      </c>
      <c r="C308" s="10" t="s">
        <v>157</v>
      </c>
      <c r="D308" s="10" t="s">
        <v>158</v>
      </c>
      <c r="E308" s="18"/>
      <c r="F308" s="18"/>
      <c r="G308" s="12">
        <f>B308</f>
        <v>2019</v>
      </c>
      <c r="H308" s="13" t="str">
        <f>LOWER(left(O308,1)&amp;left(P308,1)&amp;left(Q308,1)&amp;left(R308,1)&amp;left(S308,1)&amp;left(T308,1))&amp;G308</f>
        <v>gds(vg2019</v>
      </c>
      <c r="I308" s="20" t="str">
        <f>trim(C308)</f>
        <v>GOOGLE DATASET SEARCH (BETA): VISÃO GERAL E PERSPECTIVAS PARA INDEXAÇÃO E DISPONIBILIZAÇÃO DE CONJUNTOS DE DADOS CIENTÍFICOS ABERTOS</v>
      </c>
      <c r="J308" s="20" t="str">
        <f t="shared" si="2"/>
        <v>conjuntos de dados</v>
      </c>
      <c r="K308" s="20"/>
      <c r="L308" s="20" t="str">
        <f t="shared" si="3"/>
        <v>conjuntos de dados</v>
      </c>
      <c r="M308" s="18"/>
      <c r="N308" s="21" t="str">
        <f>IFERROR(__xludf.DUMMYFUNCTION("TRANSPOSE(split(D308,"";"",true,true))"),"conjuntos de dados")</f>
        <v>conjuntos de dados</v>
      </c>
      <c r="O308" s="6" t="str">
        <f>IFERROR(__xludf.DUMMYFUNCTION("split(C308,"" "")"),"GOOGLE")</f>
        <v>GOOGLE</v>
      </c>
      <c r="P308" s="18" t="str">
        <f>IFERROR(__xludf.DUMMYFUNCTION("""COMPUTED_VALUE"""),"DATASET")</f>
        <v>DATASET</v>
      </c>
      <c r="Q308" s="18" t="str">
        <f>IFERROR(__xludf.DUMMYFUNCTION("""COMPUTED_VALUE"""),"SEARCH")</f>
        <v>SEARCH</v>
      </c>
      <c r="R308" s="18" t="str">
        <f>IFERROR(__xludf.DUMMYFUNCTION("""COMPUTED_VALUE"""),"(BETA):")</f>
        <v>(BETA):</v>
      </c>
      <c r="S308" s="18" t="str">
        <f>IFERROR(__xludf.DUMMYFUNCTION("""COMPUTED_VALUE"""),"VISÃO")</f>
        <v>VISÃO</v>
      </c>
      <c r="T308" s="18" t="str">
        <f>IFERROR(__xludf.DUMMYFUNCTION("""COMPUTED_VALUE"""),"GERAL")</f>
        <v>GERAL</v>
      </c>
      <c r="U308" s="18" t="str">
        <f>IFERROR(__xludf.DUMMYFUNCTION("""COMPUTED_VALUE"""),"E")</f>
        <v>E</v>
      </c>
      <c r="V308" s="18" t="str">
        <f>IFERROR(__xludf.DUMMYFUNCTION("""COMPUTED_VALUE"""),"PERSPECTIVAS")</f>
        <v>PERSPECTIVAS</v>
      </c>
      <c r="W308" s="18" t="str">
        <f>IFERROR(__xludf.DUMMYFUNCTION("""COMPUTED_VALUE"""),"PARA")</f>
        <v>PARA</v>
      </c>
      <c r="X308" s="18" t="str">
        <f>IFERROR(__xludf.DUMMYFUNCTION("""COMPUTED_VALUE"""),"INDEXAÇÃO")</f>
        <v>INDEXAÇÃO</v>
      </c>
      <c r="Y308" s="18" t="str">
        <f>IFERROR(__xludf.DUMMYFUNCTION("""COMPUTED_VALUE"""),"E")</f>
        <v>E</v>
      </c>
      <c r="Z308" s="18" t="str">
        <f>IFERROR(__xludf.DUMMYFUNCTION("""COMPUTED_VALUE"""),"DISPONIBILIZAÇÃO")</f>
        <v>DISPONIBILIZAÇÃO</v>
      </c>
      <c r="AA308" s="18" t="str">
        <f>IFERROR(__xludf.DUMMYFUNCTION("""COMPUTED_VALUE"""),"DE")</f>
        <v>DE</v>
      </c>
      <c r="AB308" s="18" t="str">
        <f>IFERROR(__xludf.DUMMYFUNCTION("""COMPUTED_VALUE"""),"CONJUNTOS")</f>
        <v>CONJUNTOS</v>
      </c>
      <c r="AC308" s="18" t="str">
        <f>IFERROR(__xludf.DUMMYFUNCTION("""COMPUTED_VALUE"""),"DE")</f>
        <v>DE</v>
      </c>
      <c r="AD308" s="18" t="str">
        <f>IFERROR(__xludf.DUMMYFUNCTION("""COMPUTED_VALUE"""),"DADOS")</f>
        <v>DADOS</v>
      </c>
      <c r="AE308" s="18" t="str">
        <f>IFERROR(__xludf.DUMMYFUNCTION("""COMPUTED_VALUE"""),"CIENTÍFICOS")</f>
        <v>CIENTÍFICOS</v>
      </c>
      <c r="AF308" s="18" t="str">
        <f>IFERROR(__xludf.DUMMYFUNCTION("""COMPUTED_VALUE"""),"ABERTOS")</f>
        <v>ABERTOS</v>
      </c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</row>
    <row r="309">
      <c r="A309" s="8"/>
      <c r="B309" s="23"/>
      <c r="C309" s="24"/>
      <c r="D309" s="24"/>
      <c r="E309" s="18"/>
      <c r="F309" s="18"/>
      <c r="G309" s="25">
        <f t="shared" ref="G309:I309" si="258">G308</f>
        <v>2019</v>
      </c>
      <c r="H309" s="20" t="str">
        <f t="shared" si="258"/>
        <v>gds(vg2019</v>
      </c>
      <c r="I309" s="20" t="str">
        <f t="shared" si="258"/>
        <v>GOOGLE DATASET SEARCH (BETA): VISÃO GERAL E PERSPECTIVAS PARA INDEXAÇÃO E DISPONIBILIZAÇÃO DE CONJUNTOS DE DADOS CIENTÍFICOS ABERTOS</v>
      </c>
      <c r="J309" s="20" t="str">
        <f t="shared" si="2"/>
        <v>datasets</v>
      </c>
      <c r="K309" s="20"/>
      <c r="L309" s="20" t="str">
        <f t="shared" si="3"/>
        <v>datasets</v>
      </c>
      <c r="M309" s="18"/>
      <c r="N309" s="21" t="str">
        <f>IFERROR(__xludf.DUMMYFUNCTION("""COMPUTED_VALUE""")," datasets")</f>
        <v> datasets</v>
      </c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</row>
    <row r="310">
      <c r="A310" s="22"/>
      <c r="B310" s="23"/>
      <c r="C310" s="24"/>
      <c r="D310" s="24"/>
      <c r="E310" s="18"/>
      <c r="F310" s="18"/>
      <c r="G310" s="25">
        <f t="shared" ref="G310:I310" si="259">G309</f>
        <v>2019</v>
      </c>
      <c r="H310" s="20" t="str">
        <f t="shared" si="259"/>
        <v>gds(vg2019</v>
      </c>
      <c r="I310" s="20" t="str">
        <f t="shared" si="259"/>
        <v>GOOGLE DATASET SEARCH (BETA): VISÃO GERAL E PERSPECTIVAS PARA INDEXAÇÃO E DISPONIBILIZAÇÃO DE CONJUNTOS DE DADOS CIENTÍFICOS ABERTOS</v>
      </c>
      <c r="J310" s="20" t="str">
        <f t="shared" si="2"/>
        <v>acesso aberto</v>
      </c>
      <c r="K310" s="20"/>
      <c r="L310" s="20" t="str">
        <f t="shared" si="3"/>
        <v>acesso aberto</v>
      </c>
      <c r="M310" s="18"/>
      <c r="N310" s="21" t="str">
        <f>IFERROR(__xludf.DUMMYFUNCTION("""COMPUTED_VALUE""")," acesso aberto")</f>
        <v> acesso aberto</v>
      </c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</row>
    <row r="311">
      <c r="A311" s="22"/>
      <c r="B311" s="23"/>
      <c r="C311" s="24"/>
      <c r="D311" s="24"/>
      <c r="E311" s="18"/>
      <c r="F311" s="18"/>
      <c r="G311" s="25">
        <f t="shared" ref="G311:I311" si="260">G310</f>
        <v>2019</v>
      </c>
      <c r="H311" s="20" t="str">
        <f t="shared" si="260"/>
        <v>gds(vg2019</v>
      </c>
      <c r="I311" s="20" t="str">
        <f t="shared" si="260"/>
        <v>GOOGLE DATASET SEARCH (BETA): VISÃO GERAL E PERSPECTIVAS PARA INDEXAÇÃO E DISPONIBILIZAÇÃO DE CONJUNTOS DE DADOS CIENTÍFICOS ABERTOS</v>
      </c>
      <c r="J311" s="20" t="str">
        <f t="shared" si="2"/>
        <v>padrões de metadados</v>
      </c>
      <c r="K311" s="20"/>
      <c r="L311" s="20" t="str">
        <f t="shared" si="3"/>
        <v>padrões de metadados</v>
      </c>
      <c r="M311" s="18"/>
      <c r="N311" s="21" t="str">
        <f>IFERROR(__xludf.DUMMYFUNCTION("""COMPUTED_VALUE""")," padrões de metadados")</f>
        <v> padrões de metadados</v>
      </c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</row>
    <row r="312">
      <c r="A312" s="22"/>
      <c r="B312" s="23"/>
      <c r="C312" s="24"/>
      <c r="D312" s="24"/>
      <c r="E312" s="18"/>
      <c r="F312" s="18"/>
      <c r="G312" s="25">
        <f t="shared" ref="G312:I312" si="261">G311</f>
        <v>2019</v>
      </c>
      <c r="H312" s="20" t="str">
        <f t="shared" si="261"/>
        <v>gds(vg2019</v>
      </c>
      <c r="I312" s="20" t="str">
        <f t="shared" si="261"/>
        <v>GOOGLE DATASET SEARCH (BETA): VISÃO GERAL E PERSPECTIVAS PARA INDEXAÇÃO E DISPONIBILIZAÇÃO DE CONJUNTOS DE DADOS CIENTÍFICOS ABERTOS</v>
      </c>
      <c r="J312" s="20" t="str">
        <f t="shared" si="2"/>
        <v>google dataset search</v>
      </c>
      <c r="K312" s="20"/>
      <c r="L312" s="20" t="str">
        <f t="shared" si="3"/>
        <v>google dataset search</v>
      </c>
      <c r="M312" s="18"/>
      <c r="N312" s="21" t="str">
        <f>IFERROR(__xludf.DUMMYFUNCTION("""COMPUTED_VALUE""")," google dataset search")</f>
        <v> google dataset search</v>
      </c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</row>
    <row r="313">
      <c r="A313" s="8"/>
      <c r="B313" s="23"/>
      <c r="C313" s="24"/>
      <c r="D313" s="24"/>
      <c r="E313" s="18"/>
      <c r="F313" s="18"/>
      <c r="G313" s="25">
        <f t="shared" ref="G313:I313" si="262">G312</f>
        <v>2019</v>
      </c>
      <c r="H313" s="20" t="str">
        <f t="shared" si="262"/>
        <v>gds(vg2019</v>
      </c>
      <c r="I313" s="20" t="str">
        <f t="shared" si="262"/>
        <v>GOOGLE DATASET SEARCH (BETA): VISÃO GERAL E PERSPECTIVAS PARA INDEXAÇÃO E DISPONIBILIZAÇÃO DE CONJUNTOS DE DADOS CIENTÍFICOS ABERTOS</v>
      </c>
      <c r="J313" s="20" t="str">
        <f t="shared" si="2"/>
        <v/>
      </c>
      <c r="K313" s="20"/>
      <c r="L313" s="20" t="str">
        <f t="shared" si="3"/>
        <v/>
      </c>
      <c r="M313" s="18"/>
      <c r="N313" s="21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</row>
    <row r="314">
      <c r="A314" s="8" t="s">
        <v>54</v>
      </c>
      <c r="B314" s="31">
        <v>2019.0</v>
      </c>
      <c r="C314" s="10" t="s">
        <v>159</v>
      </c>
      <c r="D314" s="10" t="s">
        <v>160</v>
      </c>
      <c r="E314" s="18"/>
      <c r="F314" s="18"/>
      <c r="G314" s="12">
        <f>B314</f>
        <v>2019</v>
      </c>
      <c r="H314" s="13" t="str">
        <f>LOWER(left(O314,1)&amp;left(P314,1)&amp;left(Q314,1)&amp;left(R314,1)&amp;left(S314,1)&amp;left(T314,1))&amp;G314</f>
        <v>odspnf2019</v>
      </c>
      <c r="I314" s="20" t="str">
        <f>trim(C314)</f>
        <v>O DEBATE SOBRE PRIVACIDADE NO FÓRUM DE GOVERNANÇA DA INTERNET</v>
      </c>
      <c r="J314" s="20" t="str">
        <f t="shared" si="2"/>
        <v>privacidade</v>
      </c>
      <c r="K314" s="30"/>
      <c r="L314" s="20" t="str">
        <f t="shared" si="3"/>
        <v>privacidade</v>
      </c>
      <c r="M314" s="18"/>
      <c r="N314" s="21" t="str">
        <f>IFERROR(__xludf.DUMMYFUNCTION("TRANSPOSE(split(D314,"";"",true,true))"),"privacidade")</f>
        <v>privacidade</v>
      </c>
      <c r="O314" s="6" t="str">
        <f>IFERROR(__xludf.DUMMYFUNCTION("split(C314,"" "")"),"O")</f>
        <v>O</v>
      </c>
      <c r="P314" s="18" t="str">
        <f>IFERROR(__xludf.DUMMYFUNCTION("""COMPUTED_VALUE"""),"DEBATE")</f>
        <v>DEBATE</v>
      </c>
      <c r="Q314" s="18" t="str">
        <f>IFERROR(__xludf.DUMMYFUNCTION("""COMPUTED_VALUE"""),"SOBRE")</f>
        <v>SOBRE</v>
      </c>
      <c r="R314" s="18" t="str">
        <f>IFERROR(__xludf.DUMMYFUNCTION("""COMPUTED_VALUE"""),"PRIVACIDADE")</f>
        <v>PRIVACIDADE</v>
      </c>
      <c r="S314" s="18" t="str">
        <f>IFERROR(__xludf.DUMMYFUNCTION("""COMPUTED_VALUE"""),"NO")</f>
        <v>NO</v>
      </c>
      <c r="T314" s="18" t="str">
        <f>IFERROR(__xludf.DUMMYFUNCTION("""COMPUTED_VALUE"""),"FÓRUM")</f>
        <v>FÓRUM</v>
      </c>
      <c r="U314" s="18" t="str">
        <f>IFERROR(__xludf.DUMMYFUNCTION("""COMPUTED_VALUE"""),"DE")</f>
        <v>DE</v>
      </c>
      <c r="V314" s="18" t="str">
        <f>IFERROR(__xludf.DUMMYFUNCTION("""COMPUTED_VALUE"""),"GOVERNANÇA")</f>
        <v>GOVERNANÇA</v>
      </c>
      <c r="W314" s="18" t="str">
        <f>IFERROR(__xludf.DUMMYFUNCTION("""COMPUTED_VALUE"""),"DA")</f>
        <v>DA</v>
      </c>
      <c r="X314" s="18" t="str">
        <f>IFERROR(__xludf.DUMMYFUNCTION("""COMPUTED_VALUE"""),"INTERNET")</f>
        <v>INTERNET</v>
      </c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</row>
    <row r="315">
      <c r="A315" s="8"/>
      <c r="B315" s="23"/>
      <c r="C315" s="24"/>
      <c r="D315" s="24"/>
      <c r="E315" s="18"/>
      <c r="F315" s="18"/>
      <c r="G315" s="25">
        <f t="shared" ref="G315:I315" si="263">G314</f>
        <v>2019</v>
      </c>
      <c r="H315" s="20" t="str">
        <f t="shared" si="263"/>
        <v>odspnf2019</v>
      </c>
      <c r="I315" s="20" t="str">
        <f t="shared" si="263"/>
        <v>O DEBATE SOBRE PRIVACIDADE NO FÓRUM DE GOVERNANÇA DA INTERNET</v>
      </c>
      <c r="J315" s="20" t="str">
        <f t="shared" si="2"/>
        <v>internet</v>
      </c>
      <c r="K315" s="30"/>
      <c r="L315" s="20" t="str">
        <f t="shared" si="3"/>
        <v>internet</v>
      </c>
      <c r="M315" s="18"/>
      <c r="N315" s="21" t="str">
        <f>IFERROR(__xludf.DUMMYFUNCTION("""COMPUTED_VALUE""")," internet")</f>
        <v> internet</v>
      </c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</row>
    <row r="316">
      <c r="A316" s="22"/>
      <c r="B316" s="23"/>
      <c r="C316" s="24"/>
      <c r="D316" s="24"/>
      <c r="E316" s="18"/>
      <c r="F316" s="18"/>
      <c r="G316" s="25">
        <f t="shared" ref="G316:I316" si="264">G315</f>
        <v>2019</v>
      </c>
      <c r="H316" s="20" t="str">
        <f t="shared" si="264"/>
        <v>odspnf2019</v>
      </c>
      <c r="I316" s="20" t="str">
        <f t="shared" si="264"/>
        <v>O DEBATE SOBRE PRIVACIDADE NO FÓRUM DE GOVERNANÇA DA INTERNET</v>
      </c>
      <c r="J316" s="20" t="str">
        <f t="shared" si="2"/>
        <v>segurança</v>
      </c>
      <c r="K316" s="30"/>
      <c r="L316" s="20" t="str">
        <f t="shared" si="3"/>
        <v>segurança</v>
      </c>
      <c r="M316" s="18"/>
      <c r="N316" s="21" t="str">
        <f>IFERROR(__xludf.DUMMYFUNCTION("""COMPUTED_VALUE""")," segurança")</f>
        <v> segurança</v>
      </c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</row>
    <row r="317">
      <c r="A317" s="22"/>
      <c r="B317" s="23"/>
      <c r="C317" s="24"/>
      <c r="D317" s="24"/>
      <c r="E317" s="18"/>
      <c r="F317" s="18"/>
      <c r="G317" s="25">
        <f t="shared" ref="G317:I317" si="265">G316</f>
        <v>2019</v>
      </c>
      <c r="H317" s="20" t="str">
        <f t="shared" si="265"/>
        <v>odspnf2019</v>
      </c>
      <c r="I317" s="20" t="str">
        <f t="shared" si="265"/>
        <v>O DEBATE SOBRE PRIVACIDADE NO FÓRUM DE GOVERNANÇA DA INTERNET</v>
      </c>
      <c r="J317" s="20" t="str">
        <f t="shared" si="2"/>
        <v>vigilância</v>
      </c>
      <c r="K317" s="30"/>
      <c r="L317" s="20" t="str">
        <f t="shared" si="3"/>
        <v>vigilância</v>
      </c>
      <c r="M317" s="18"/>
      <c r="N317" s="21" t="str">
        <f>IFERROR(__xludf.DUMMYFUNCTION("""COMPUTED_VALUE""")," vigilância")</f>
        <v> vigilância</v>
      </c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</row>
    <row r="318">
      <c r="A318" s="22"/>
      <c r="B318" s="23"/>
      <c r="C318" s="24"/>
      <c r="D318" s="24"/>
      <c r="E318" s="18"/>
      <c r="F318" s="18"/>
      <c r="G318" s="25">
        <f t="shared" ref="G318:I318" si="266">G317</f>
        <v>2019</v>
      </c>
      <c r="H318" s="20" t="str">
        <f t="shared" si="266"/>
        <v>odspnf2019</v>
      </c>
      <c r="I318" s="20" t="str">
        <f t="shared" si="266"/>
        <v>O DEBATE SOBRE PRIVACIDADE NO FÓRUM DE GOVERNANÇA DA INTERNET</v>
      </c>
      <c r="J318" s="20" t="str">
        <f t="shared" si="2"/>
        <v>algoritmos</v>
      </c>
      <c r="K318" s="30"/>
      <c r="L318" s="20" t="str">
        <f t="shared" si="3"/>
        <v>algoritmos</v>
      </c>
      <c r="M318" s="18"/>
      <c r="N318" s="21" t="str">
        <f>IFERROR(__xludf.DUMMYFUNCTION("""COMPUTED_VALUE""")," algoritmos")</f>
        <v> algoritmos</v>
      </c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</row>
    <row r="319">
      <c r="A319" s="8"/>
      <c r="B319" s="23"/>
      <c r="C319" s="24"/>
      <c r="D319" s="24"/>
      <c r="E319" s="18"/>
      <c r="F319" s="18"/>
      <c r="G319" s="25">
        <f t="shared" ref="G319:I319" si="267">G318</f>
        <v>2019</v>
      </c>
      <c r="H319" s="20" t="str">
        <f t="shared" si="267"/>
        <v>odspnf2019</v>
      </c>
      <c r="I319" s="20" t="str">
        <f t="shared" si="267"/>
        <v>O DEBATE SOBRE PRIVACIDADE NO FÓRUM DE GOVERNANÇA DA INTERNET</v>
      </c>
      <c r="J319" s="20" t="str">
        <f t="shared" si="2"/>
        <v/>
      </c>
      <c r="K319" s="20"/>
      <c r="L319" s="20" t="str">
        <f t="shared" si="3"/>
        <v/>
      </c>
      <c r="M319" s="18"/>
      <c r="N319" s="21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</row>
    <row r="320">
      <c r="A320" s="8" t="s">
        <v>54</v>
      </c>
      <c r="B320" s="31">
        <v>2019.0</v>
      </c>
      <c r="C320" s="10" t="s">
        <v>161</v>
      </c>
      <c r="D320" s="10" t="s">
        <v>162</v>
      </c>
      <c r="E320" s="18"/>
      <c r="F320" s="18"/>
      <c r="G320" s="12">
        <f>B320</f>
        <v>2019</v>
      </c>
      <c r="H320" s="13" t="str">
        <f>LOWER(left(O320,1)&amp;left(P320,1)&amp;left(Q320,1)&amp;left(R320,1)&amp;left(S320,1)&amp;left(T320,1))&amp;G320</f>
        <v>oudbpr2019</v>
      </c>
      <c r="I320" s="20" t="str">
        <f>trim(C320)</f>
        <v>O USO DA BLOKCHAIN PARA REGISTROS DE IDENTIDADE DE PESSOAS</v>
      </c>
      <c r="J320" s="20" t="str">
        <f t="shared" si="2"/>
        <v>conjuntos de dados</v>
      </c>
      <c r="K320" s="30"/>
      <c r="L320" s="20" t="str">
        <f t="shared" si="3"/>
        <v>conjuntos de dados</v>
      </c>
      <c r="M320" s="18"/>
      <c r="N320" s="21" t="str">
        <f>IFERROR(__xludf.DUMMYFUNCTION("TRANSPOSE(split(D308,"";"",true,true))"),"conjuntos de dados")</f>
        <v>conjuntos de dados</v>
      </c>
      <c r="O320" s="6" t="str">
        <f>IFERROR(__xludf.DUMMYFUNCTION("split(C320,"" "")"),"O")</f>
        <v>O</v>
      </c>
      <c r="P320" s="18" t="str">
        <f>IFERROR(__xludf.DUMMYFUNCTION("""COMPUTED_VALUE"""),"USO")</f>
        <v>USO</v>
      </c>
      <c r="Q320" s="18" t="str">
        <f>IFERROR(__xludf.DUMMYFUNCTION("""COMPUTED_VALUE"""),"DA")</f>
        <v>DA</v>
      </c>
      <c r="R320" s="18" t="str">
        <f>IFERROR(__xludf.DUMMYFUNCTION("""COMPUTED_VALUE"""),"BLOKCHAIN")</f>
        <v>BLOKCHAIN</v>
      </c>
      <c r="S320" s="18" t="str">
        <f>IFERROR(__xludf.DUMMYFUNCTION("""COMPUTED_VALUE"""),"PARA")</f>
        <v>PARA</v>
      </c>
      <c r="T320" s="18" t="str">
        <f>IFERROR(__xludf.DUMMYFUNCTION("""COMPUTED_VALUE"""),"REGISTROS")</f>
        <v>REGISTROS</v>
      </c>
      <c r="U320" s="18" t="str">
        <f>IFERROR(__xludf.DUMMYFUNCTION("""COMPUTED_VALUE"""),"DE")</f>
        <v>DE</v>
      </c>
      <c r="V320" s="18" t="str">
        <f>IFERROR(__xludf.DUMMYFUNCTION("""COMPUTED_VALUE"""),"IDENTIDADE")</f>
        <v>IDENTIDADE</v>
      </c>
      <c r="W320" s="18" t="str">
        <f>IFERROR(__xludf.DUMMYFUNCTION("""COMPUTED_VALUE"""),"DE")</f>
        <v>DE</v>
      </c>
      <c r="X320" s="18" t="str">
        <f>IFERROR(__xludf.DUMMYFUNCTION("""COMPUTED_VALUE"""),"PESSOAS")</f>
        <v>PESSOAS</v>
      </c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</row>
    <row r="321">
      <c r="A321" s="22"/>
      <c r="B321" s="23"/>
      <c r="C321" s="24"/>
      <c r="D321" s="24"/>
      <c r="E321" s="18"/>
      <c r="F321" s="18"/>
      <c r="G321" s="25">
        <f t="shared" ref="G321:I321" si="268">G320</f>
        <v>2019</v>
      </c>
      <c r="H321" s="20" t="str">
        <f t="shared" si="268"/>
        <v>oudbpr2019</v>
      </c>
      <c r="I321" s="20" t="str">
        <f t="shared" si="268"/>
        <v>O USO DA BLOKCHAIN PARA REGISTROS DE IDENTIDADE DE PESSOAS</v>
      </c>
      <c r="J321" s="20" t="str">
        <f t="shared" si="2"/>
        <v>datasets</v>
      </c>
      <c r="K321" s="30"/>
      <c r="L321" s="20" t="str">
        <f t="shared" si="3"/>
        <v>datasets</v>
      </c>
      <c r="M321" s="18"/>
      <c r="N321" s="21" t="str">
        <f>IFERROR(__xludf.DUMMYFUNCTION("""COMPUTED_VALUE""")," datasets")</f>
        <v> datasets</v>
      </c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</row>
    <row r="322">
      <c r="A322" s="22"/>
      <c r="B322" s="23"/>
      <c r="C322" s="24"/>
      <c r="D322" s="24"/>
      <c r="E322" s="18"/>
      <c r="F322" s="18"/>
      <c r="G322" s="25">
        <f t="shared" ref="G322:I322" si="269">G321</f>
        <v>2019</v>
      </c>
      <c r="H322" s="20" t="str">
        <f t="shared" si="269"/>
        <v>oudbpr2019</v>
      </c>
      <c r="I322" s="20" t="str">
        <f t="shared" si="269"/>
        <v>O USO DA BLOKCHAIN PARA REGISTROS DE IDENTIDADE DE PESSOAS</v>
      </c>
      <c r="J322" s="20" t="str">
        <f t="shared" si="2"/>
        <v>acesso aberto</v>
      </c>
      <c r="K322" s="30"/>
      <c r="L322" s="20" t="str">
        <f t="shared" si="3"/>
        <v>acesso aberto</v>
      </c>
      <c r="M322" s="18"/>
      <c r="N322" s="21" t="str">
        <f>IFERROR(__xludf.DUMMYFUNCTION("""COMPUTED_VALUE""")," acesso aberto")</f>
        <v> acesso aberto</v>
      </c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</row>
    <row r="323">
      <c r="A323" s="22"/>
      <c r="B323" s="23"/>
      <c r="C323" s="24"/>
      <c r="D323" s="24"/>
      <c r="E323" s="18"/>
      <c r="F323" s="18"/>
      <c r="G323" s="25">
        <f t="shared" ref="G323:I323" si="270">G322</f>
        <v>2019</v>
      </c>
      <c r="H323" s="20" t="str">
        <f t="shared" si="270"/>
        <v>oudbpr2019</v>
      </c>
      <c r="I323" s="20" t="str">
        <f t="shared" si="270"/>
        <v>O USO DA BLOKCHAIN PARA REGISTROS DE IDENTIDADE DE PESSOAS</v>
      </c>
      <c r="J323" s="20" t="str">
        <f t="shared" si="2"/>
        <v>padrões de metadados</v>
      </c>
      <c r="K323" s="30"/>
      <c r="L323" s="20" t="str">
        <f t="shared" si="3"/>
        <v>padrões de metadados</v>
      </c>
      <c r="M323" s="18"/>
      <c r="N323" s="21" t="str">
        <f>IFERROR(__xludf.DUMMYFUNCTION("""COMPUTED_VALUE""")," padrões de metadados")</f>
        <v> padrões de metadados</v>
      </c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</row>
    <row r="324">
      <c r="A324" s="22"/>
      <c r="B324" s="23"/>
      <c r="C324" s="24"/>
      <c r="D324" s="24"/>
      <c r="E324" s="18"/>
      <c r="F324" s="18"/>
      <c r="G324" s="25">
        <f t="shared" ref="G324:I324" si="271">G323</f>
        <v>2019</v>
      </c>
      <c r="H324" s="20" t="str">
        <f t="shared" si="271"/>
        <v>oudbpr2019</v>
      </c>
      <c r="I324" s="20" t="str">
        <f t="shared" si="271"/>
        <v>O USO DA BLOKCHAIN PARA REGISTROS DE IDENTIDADE DE PESSOAS</v>
      </c>
      <c r="J324" s="20" t="str">
        <f t="shared" si="2"/>
        <v>google dataset search</v>
      </c>
      <c r="K324" s="30"/>
      <c r="L324" s="20" t="str">
        <f t="shared" si="3"/>
        <v>google dataset search</v>
      </c>
      <c r="M324" s="18"/>
      <c r="N324" s="21" t="str">
        <f>IFERROR(__xludf.DUMMYFUNCTION("""COMPUTED_VALUE""")," google dataset search")</f>
        <v> google dataset search</v>
      </c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</row>
    <row r="325">
      <c r="A325" s="8"/>
      <c r="B325" s="23"/>
      <c r="C325" s="24"/>
      <c r="D325" s="24"/>
      <c r="E325" s="18"/>
      <c r="F325" s="18"/>
      <c r="G325" s="25">
        <f t="shared" ref="G325:I325" si="272">G324</f>
        <v>2019</v>
      </c>
      <c r="H325" s="20" t="str">
        <f t="shared" si="272"/>
        <v>oudbpr2019</v>
      </c>
      <c r="I325" s="20" t="str">
        <f t="shared" si="272"/>
        <v>O USO DA BLOKCHAIN PARA REGISTROS DE IDENTIDADE DE PESSOAS</v>
      </c>
      <c r="J325" s="20" t="str">
        <f t="shared" si="2"/>
        <v/>
      </c>
      <c r="K325" s="20"/>
      <c r="L325" s="20" t="str">
        <f t="shared" si="3"/>
        <v/>
      </c>
      <c r="M325" s="18"/>
      <c r="N325" s="21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</row>
    <row r="326">
      <c r="A326" s="8" t="s">
        <v>54</v>
      </c>
      <c r="B326" s="29">
        <v>2019.0</v>
      </c>
      <c r="C326" s="10" t="s">
        <v>163</v>
      </c>
      <c r="D326" s="10" t="s">
        <v>164</v>
      </c>
      <c r="E326" s="18"/>
      <c r="F326" s="18"/>
      <c r="G326" s="12">
        <f>B326</f>
        <v>2019</v>
      </c>
      <c r="H326" s="13" t="str">
        <f>LOWER(left(O326,1)&amp;left(P326,1)&amp;left(Q326,1)&amp;left(R326,1)&amp;left(S326,1)&amp;left(T326,1))&amp;G326</f>
        <v>omuecp2019</v>
      </c>
      <c r="I326" s="20" t="str">
        <f>trim(C326)</f>
        <v>ONTOLOGIAS MULTIMÍDIA: um estudo comparativo para reúso</v>
      </c>
      <c r="J326" s="20" t="str">
        <f t="shared" si="2"/>
        <v>Ontologias Multimídia</v>
      </c>
      <c r="K326" s="20"/>
      <c r="L326" s="20" t="str">
        <f t="shared" si="3"/>
        <v>ontologias multimídia</v>
      </c>
      <c r="M326" s="18"/>
      <c r="N326" s="21" t="str">
        <f>IFERROR(__xludf.DUMMYFUNCTION("TRANSPOSE(split(D326,"";"",true,true))"),"Ontologias Multimídia")</f>
        <v>Ontologias Multimídia</v>
      </c>
      <c r="O326" s="6" t="str">
        <f>IFERROR(__xludf.DUMMYFUNCTION("split(C326,"" "")"),"ONTOLOGIAS")</f>
        <v>ONTOLOGIAS</v>
      </c>
      <c r="P326" s="18" t="str">
        <f>IFERROR(__xludf.DUMMYFUNCTION("""COMPUTED_VALUE"""),"MULTIMÍDIA:")</f>
        <v>MULTIMÍDIA:</v>
      </c>
      <c r="Q326" s="18" t="str">
        <f>IFERROR(__xludf.DUMMYFUNCTION("""COMPUTED_VALUE"""),"um")</f>
        <v>um</v>
      </c>
      <c r="R326" s="18" t="str">
        <f>IFERROR(__xludf.DUMMYFUNCTION("""COMPUTED_VALUE"""),"estudo")</f>
        <v>estudo</v>
      </c>
      <c r="S326" s="18" t="str">
        <f>IFERROR(__xludf.DUMMYFUNCTION("""COMPUTED_VALUE"""),"comparativo")</f>
        <v>comparativo</v>
      </c>
      <c r="T326" s="18" t="str">
        <f>IFERROR(__xludf.DUMMYFUNCTION("""COMPUTED_VALUE"""),"para")</f>
        <v>para</v>
      </c>
      <c r="U326" s="18" t="str">
        <f>IFERROR(__xludf.DUMMYFUNCTION("""COMPUTED_VALUE"""),"reúso")</f>
        <v>reúso</v>
      </c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</row>
    <row r="327">
      <c r="A327" s="22"/>
      <c r="B327" s="23"/>
      <c r="C327" s="24"/>
      <c r="D327" s="24"/>
      <c r="E327" s="18"/>
      <c r="F327" s="18"/>
      <c r="G327" s="25">
        <f t="shared" ref="G327:I327" si="273">G326</f>
        <v>2019</v>
      </c>
      <c r="H327" s="20" t="str">
        <f t="shared" si="273"/>
        <v>omuecp2019</v>
      </c>
      <c r="I327" s="20" t="str">
        <f t="shared" si="273"/>
        <v>ONTOLOGIAS MULTIMÍDIA: um estudo comparativo para reúso</v>
      </c>
      <c r="J327" s="20" t="str">
        <f t="shared" si="2"/>
        <v>Padrões de Metadados</v>
      </c>
      <c r="K327" s="20"/>
      <c r="L327" s="20" t="str">
        <f t="shared" si="3"/>
        <v>padrões de metadados</v>
      </c>
      <c r="M327" s="18"/>
      <c r="N327" s="21" t="str">
        <f>IFERROR(__xludf.DUMMYFUNCTION("""COMPUTED_VALUE""")," Padrões de Metadados")</f>
        <v> Padrões de Metadados</v>
      </c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</row>
    <row r="328">
      <c r="A328" s="22"/>
      <c r="B328" s="23"/>
      <c r="C328" s="24"/>
      <c r="D328" s="24"/>
      <c r="E328" s="18"/>
      <c r="F328" s="18"/>
      <c r="G328" s="25">
        <f t="shared" ref="G328:I328" si="274">G327</f>
        <v>2019</v>
      </c>
      <c r="H328" s="20" t="str">
        <f t="shared" si="274"/>
        <v>omuecp2019</v>
      </c>
      <c r="I328" s="20" t="str">
        <f t="shared" si="274"/>
        <v>ONTOLOGIAS MULTIMÍDIA: um estudo comparativo para reúso</v>
      </c>
      <c r="J328" s="20" t="str">
        <f t="shared" si="2"/>
        <v>Reúso de Ontologias</v>
      </c>
      <c r="K328" s="20"/>
      <c r="L328" s="20" t="str">
        <f t="shared" si="3"/>
        <v>reúso de ontologias</v>
      </c>
      <c r="M328" s="18"/>
      <c r="N328" s="21" t="str">
        <f>IFERROR(__xludf.DUMMYFUNCTION("""COMPUTED_VALUE""")," Reúso de Ontologias")</f>
        <v> Reúso de Ontologias</v>
      </c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</row>
    <row r="329">
      <c r="A329" s="22"/>
      <c r="B329" s="23"/>
      <c r="C329" s="24"/>
      <c r="D329" s="24"/>
      <c r="E329" s="18"/>
      <c r="F329" s="18"/>
      <c r="G329" s="25">
        <f t="shared" ref="G329:I329" si="275">G328</f>
        <v>2019</v>
      </c>
      <c r="H329" s="20" t="str">
        <f t="shared" si="275"/>
        <v>omuecp2019</v>
      </c>
      <c r="I329" s="20" t="str">
        <f t="shared" si="275"/>
        <v>ONTOLOGIAS MULTIMÍDIA: um estudo comparativo para reúso</v>
      </c>
      <c r="J329" s="20" t="str">
        <f t="shared" si="2"/>
        <v>Descrição Multimídia</v>
      </c>
      <c r="K329" s="20"/>
      <c r="L329" s="20" t="str">
        <f t="shared" si="3"/>
        <v>descrição multimídia</v>
      </c>
      <c r="M329" s="18"/>
      <c r="N329" s="21" t="str">
        <f>IFERROR(__xludf.DUMMYFUNCTION("""COMPUTED_VALUE""")," Descrição Multimídia")</f>
        <v> Descrição Multimídia</v>
      </c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</row>
    <row r="330">
      <c r="A330" s="22"/>
      <c r="B330" s="23"/>
      <c r="C330" s="24"/>
      <c r="D330" s="24"/>
      <c r="E330" s="18"/>
      <c r="F330" s="18"/>
      <c r="G330" s="25">
        <f t="shared" ref="G330:I330" si="276">G329</f>
        <v>2019</v>
      </c>
      <c r="H330" s="20" t="str">
        <f t="shared" si="276"/>
        <v>omuecp2019</v>
      </c>
      <c r="I330" s="20" t="str">
        <f t="shared" si="276"/>
        <v>ONTOLOGIAS MULTIMÍDIA: um estudo comparativo para reúso</v>
      </c>
      <c r="J330" s="20" t="str">
        <f t="shared" si="2"/>
        <v/>
      </c>
      <c r="K330" s="20"/>
      <c r="L330" s="20" t="str">
        <f t="shared" si="3"/>
        <v/>
      </c>
      <c r="M330" s="18"/>
      <c r="N330" s="21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</row>
    <row r="331">
      <c r="A331" s="8"/>
      <c r="B331" s="23"/>
      <c r="C331" s="24"/>
      <c r="D331" s="24"/>
      <c r="E331" s="18"/>
      <c r="F331" s="18"/>
      <c r="G331" s="25">
        <f t="shared" ref="G331:I331" si="277">G330</f>
        <v>2019</v>
      </c>
      <c r="H331" s="20" t="str">
        <f t="shared" si="277"/>
        <v>omuecp2019</v>
      </c>
      <c r="I331" s="20" t="str">
        <f t="shared" si="277"/>
        <v>ONTOLOGIAS MULTIMÍDIA: um estudo comparativo para reúso</v>
      </c>
      <c r="J331" s="20" t="str">
        <f t="shared" si="2"/>
        <v/>
      </c>
      <c r="K331" s="20"/>
      <c r="L331" s="20" t="str">
        <f t="shared" si="3"/>
        <v/>
      </c>
      <c r="M331" s="18"/>
      <c r="N331" s="21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</row>
    <row r="332">
      <c r="A332" s="8" t="s">
        <v>54</v>
      </c>
      <c r="B332" s="29">
        <v>2019.0</v>
      </c>
      <c r="C332" s="10" t="s">
        <v>165</v>
      </c>
      <c r="D332" s="10" t="s">
        <v>166</v>
      </c>
      <c r="E332" s="18"/>
      <c r="F332" s="18"/>
      <c r="G332" s="12">
        <f>B332</f>
        <v>2019</v>
      </c>
      <c r="H332" s="13" t="str">
        <f>LOWER(left(O332,1)&amp;left(P332,1)&amp;left(Q332,1)&amp;left(R332,1)&amp;left(S332,1)&amp;left(T332,1))&amp;G332</f>
        <v>oacbnr2019</v>
      </c>
      <c r="I332" s="20" t="str">
        <f>trim(C332)</f>
        <v>OS ACERVOS CULTURAIS BRASILEIROS NO REPOSITÓRIO WIKIMEDIA COMMONS</v>
      </c>
      <c r="J332" s="20" t="str">
        <f t="shared" si="2"/>
        <v>Wikimedia Commons</v>
      </c>
      <c r="K332" s="20"/>
      <c r="L332" s="20" t="str">
        <f t="shared" si="3"/>
        <v>wikimedia commons</v>
      </c>
      <c r="M332" s="18"/>
      <c r="N332" s="21" t="str">
        <f>IFERROR(__xludf.DUMMYFUNCTION("TRANSPOSE(split(D332,"";"",true,true))"),"Wikimedia Commons")</f>
        <v>Wikimedia Commons</v>
      </c>
      <c r="O332" s="6" t="str">
        <f>IFERROR(__xludf.DUMMYFUNCTION("split(C332,"" "")"),"OS")</f>
        <v>OS</v>
      </c>
      <c r="P332" s="18" t="str">
        <f>IFERROR(__xludf.DUMMYFUNCTION("""COMPUTED_VALUE"""),"ACERVOS")</f>
        <v>ACERVOS</v>
      </c>
      <c r="Q332" s="18" t="str">
        <f>IFERROR(__xludf.DUMMYFUNCTION("""COMPUTED_VALUE"""),"CULTURAIS")</f>
        <v>CULTURAIS</v>
      </c>
      <c r="R332" s="18" t="str">
        <f>IFERROR(__xludf.DUMMYFUNCTION("""COMPUTED_VALUE"""),"BRASILEIROS")</f>
        <v>BRASILEIROS</v>
      </c>
      <c r="S332" s="18" t="str">
        <f>IFERROR(__xludf.DUMMYFUNCTION("""COMPUTED_VALUE"""),"NO")</f>
        <v>NO</v>
      </c>
      <c r="T332" s="18" t="str">
        <f>IFERROR(__xludf.DUMMYFUNCTION("""COMPUTED_VALUE"""),"REPOSITÓRIO")</f>
        <v>REPOSITÓRIO</v>
      </c>
      <c r="U332" s="18" t="str">
        <f>IFERROR(__xludf.DUMMYFUNCTION("""COMPUTED_VALUE"""),"WIKIMEDIA")</f>
        <v>WIKIMEDIA</v>
      </c>
      <c r="V332" s="18" t="str">
        <f>IFERROR(__xludf.DUMMYFUNCTION("""COMPUTED_VALUE"""),"COMMONS")</f>
        <v>COMMONS</v>
      </c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</row>
    <row r="333">
      <c r="A333" s="22"/>
      <c r="B333" s="23"/>
      <c r="C333" s="24"/>
      <c r="D333" s="24"/>
      <c r="E333" s="18"/>
      <c r="F333" s="18"/>
      <c r="G333" s="25">
        <f t="shared" ref="G333:I333" si="278">G332</f>
        <v>2019</v>
      </c>
      <c r="H333" s="20" t="str">
        <f t="shared" si="278"/>
        <v>oacbnr2019</v>
      </c>
      <c r="I333" s="20" t="str">
        <f t="shared" si="278"/>
        <v>OS ACERVOS CULTURAIS BRASILEIROS NO REPOSITÓRIO WIKIMEDIA COMMONS</v>
      </c>
      <c r="J333" s="20" t="str">
        <f t="shared" si="2"/>
        <v>Instituto Brasileiro de Museus</v>
      </c>
      <c r="K333" s="20"/>
      <c r="L333" s="20" t="str">
        <f t="shared" si="3"/>
        <v>instituto brasileiro de museus</v>
      </c>
      <c r="M333" s="18"/>
      <c r="N333" s="21" t="str">
        <f>IFERROR(__xludf.DUMMYFUNCTION("""COMPUTED_VALUE""")," Instituto Brasileiro de Museus")</f>
        <v> Instituto Brasileiro de Museus</v>
      </c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</row>
    <row r="334">
      <c r="A334" s="22"/>
      <c r="B334" s="23"/>
      <c r="C334" s="24"/>
      <c r="D334" s="24"/>
      <c r="E334" s="18"/>
      <c r="F334" s="18"/>
      <c r="G334" s="25">
        <f t="shared" ref="G334:I334" si="279">G333</f>
        <v>2019</v>
      </c>
      <c r="H334" s="20" t="str">
        <f t="shared" si="279"/>
        <v>oacbnr2019</v>
      </c>
      <c r="I334" s="20" t="str">
        <f t="shared" si="279"/>
        <v>OS ACERVOS CULTURAIS BRASILEIROS NO REPOSITÓRIO WIKIMEDIA COMMONS</v>
      </c>
      <c r="J334" s="20" t="str">
        <f t="shared" si="2"/>
        <v>Repositório de mídias</v>
      </c>
      <c r="K334" s="20"/>
      <c r="L334" s="20" t="str">
        <f t="shared" si="3"/>
        <v>repositório de mídias</v>
      </c>
      <c r="M334" s="18"/>
      <c r="N334" s="21" t="str">
        <f>IFERROR(__xludf.DUMMYFUNCTION("""COMPUTED_VALUE""")," Repositório de mídias")</f>
        <v> Repositório de mídias</v>
      </c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</row>
    <row r="335">
      <c r="A335" s="22"/>
      <c r="B335" s="23"/>
      <c r="C335" s="24"/>
      <c r="D335" s="24"/>
      <c r="E335" s="18"/>
      <c r="F335" s="18"/>
      <c r="G335" s="25">
        <f t="shared" ref="G335:I335" si="280">G334</f>
        <v>2019</v>
      </c>
      <c r="H335" s="20" t="str">
        <f t="shared" si="280"/>
        <v>oacbnr2019</v>
      </c>
      <c r="I335" s="20" t="str">
        <f t="shared" si="280"/>
        <v>OS ACERVOS CULTURAIS BRASILEIROS NO REPOSITÓRIO WIKIMEDIA COMMONS</v>
      </c>
      <c r="J335" s="20" t="str">
        <f t="shared" si="2"/>
        <v>Acervos culturais</v>
      </c>
      <c r="K335" s="20"/>
      <c r="L335" s="20" t="str">
        <f t="shared" si="3"/>
        <v>acervos culturais</v>
      </c>
      <c r="M335" s="18"/>
      <c r="N335" s="21" t="str">
        <f>IFERROR(__xludf.DUMMYFUNCTION("""COMPUTED_VALUE""")," Acervos culturais")</f>
        <v> Acervos culturais</v>
      </c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</row>
    <row r="336">
      <c r="A336" s="22"/>
      <c r="B336" s="23"/>
      <c r="C336" s="24"/>
      <c r="D336" s="24"/>
      <c r="E336" s="18"/>
      <c r="F336" s="18"/>
      <c r="G336" s="25">
        <f t="shared" ref="G336:I336" si="281">G335</f>
        <v>2019</v>
      </c>
      <c r="H336" s="20" t="str">
        <f t="shared" si="281"/>
        <v>oacbnr2019</v>
      </c>
      <c r="I336" s="20" t="str">
        <f t="shared" si="281"/>
        <v>OS ACERVOS CULTURAIS BRASILEIROS NO REPOSITÓRIO WIKIMEDIA COMMONS</v>
      </c>
      <c r="J336" s="20" t="str">
        <f t="shared" si="2"/>
        <v>Instituições Culturais</v>
      </c>
      <c r="K336" s="20"/>
      <c r="L336" s="20" t="str">
        <f t="shared" si="3"/>
        <v>instituições culturais</v>
      </c>
      <c r="M336" s="18"/>
      <c r="N336" s="21" t="str">
        <f>IFERROR(__xludf.DUMMYFUNCTION("""COMPUTED_VALUE""")," Instituições Culturais")</f>
        <v> Instituições Culturais</v>
      </c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</row>
    <row r="337">
      <c r="A337" s="8"/>
      <c r="B337" s="23"/>
      <c r="C337" s="24"/>
      <c r="D337" s="24"/>
      <c r="E337" s="18"/>
      <c r="F337" s="18"/>
      <c r="G337" s="25">
        <f t="shared" ref="G337:I337" si="282">G336</f>
        <v>2019</v>
      </c>
      <c r="H337" s="20" t="str">
        <f t="shared" si="282"/>
        <v>oacbnr2019</v>
      </c>
      <c r="I337" s="20" t="str">
        <f t="shared" si="282"/>
        <v>OS ACERVOS CULTURAIS BRASILEIROS NO REPOSITÓRIO WIKIMEDIA COMMONS</v>
      </c>
      <c r="J337" s="20" t="str">
        <f t="shared" si="2"/>
        <v/>
      </c>
      <c r="K337" s="20"/>
      <c r="L337" s="20" t="str">
        <f t="shared" si="3"/>
        <v/>
      </c>
      <c r="M337" s="18"/>
      <c r="N337" s="21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</row>
    <row r="338">
      <c r="A338" s="8" t="s">
        <v>54</v>
      </c>
      <c r="B338" s="29">
        <v>2019.0</v>
      </c>
      <c r="C338" s="10" t="s">
        <v>167</v>
      </c>
      <c r="D338" s="10" t="s">
        <v>168</v>
      </c>
      <c r="E338" s="18"/>
      <c r="F338" s="18"/>
      <c r="G338" s="12">
        <f>B338</f>
        <v>2019</v>
      </c>
      <c r="H338" s="13" t="str">
        <f>LOWER(left(O338,1)&amp;left(P338,1)&amp;left(Q338,1)&amp;left(R338,1)&amp;left(S338,1)&amp;left(T338,1))&amp;G338</f>
        <v>pdadfd2019</v>
      </c>
      <c r="I338" s="20" t="str">
        <f>trim(C338)</f>
        <v>PROPOSTA DE APLICAÇÃO DA FUSÃO DE DADOS E INFORMAÇÕES NO APOIO À PREVENÇÃO DE ACIDENTES DE TRÂNSITO NAS RODOVIAS FEDERAIS BRASILEIRAS</v>
      </c>
      <c r="J338" s="20" t="str">
        <f t="shared" si="2"/>
        <v>Prevenção de Acidentes de Trânsito</v>
      </c>
      <c r="K338" s="20"/>
      <c r="L338" s="20" t="str">
        <f t="shared" si="3"/>
        <v>prevenção de acidentes de trânsito</v>
      </c>
      <c r="M338" s="18"/>
      <c r="N338" s="21" t="str">
        <f>IFERROR(__xludf.DUMMYFUNCTION("TRANSPOSE(split(D338,"";"",true,true))"),"Prevenção de Acidentes de Trânsito")</f>
        <v>Prevenção de Acidentes de Trânsito</v>
      </c>
      <c r="O338" s="6" t="str">
        <f>IFERROR(__xludf.DUMMYFUNCTION("split(C338,"" "")"),"PROPOSTA")</f>
        <v>PROPOSTA</v>
      </c>
      <c r="P338" s="18" t="str">
        <f>IFERROR(__xludf.DUMMYFUNCTION("""COMPUTED_VALUE"""),"DE")</f>
        <v>DE</v>
      </c>
      <c r="Q338" s="18" t="str">
        <f>IFERROR(__xludf.DUMMYFUNCTION("""COMPUTED_VALUE"""),"APLICAÇÃO")</f>
        <v>APLICAÇÃO</v>
      </c>
      <c r="R338" s="18" t="str">
        <f>IFERROR(__xludf.DUMMYFUNCTION("""COMPUTED_VALUE"""),"DA")</f>
        <v>DA</v>
      </c>
      <c r="S338" s="18" t="str">
        <f>IFERROR(__xludf.DUMMYFUNCTION("""COMPUTED_VALUE"""),"FUSÃO")</f>
        <v>FUSÃO</v>
      </c>
      <c r="T338" s="18" t="str">
        <f>IFERROR(__xludf.DUMMYFUNCTION("""COMPUTED_VALUE"""),"DE")</f>
        <v>DE</v>
      </c>
      <c r="U338" s="18" t="str">
        <f>IFERROR(__xludf.DUMMYFUNCTION("""COMPUTED_VALUE"""),"DADOS")</f>
        <v>DADOS</v>
      </c>
      <c r="V338" s="18" t="str">
        <f>IFERROR(__xludf.DUMMYFUNCTION("""COMPUTED_VALUE"""),"E")</f>
        <v>E</v>
      </c>
      <c r="W338" s="18" t="str">
        <f>IFERROR(__xludf.DUMMYFUNCTION("""COMPUTED_VALUE"""),"INFORMAÇÕES")</f>
        <v>INFORMAÇÕES</v>
      </c>
      <c r="X338" s="18" t="str">
        <f>IFERROR(__xludf.DUMMYFUNCTION("""COMPUTED_VALUE"""),"NO")</f>
        <v>NO</v>
      </c>
      <c r="Y338" s="18" t="str">
        <f>IFERROR(__xludf.DUMMYFUNCTION("""COMPUTED_VALUE"""),"APOIO")</f>
        <v>APOIO</v>
      </c>
      <c r="Z338" s="18" t="str">
        <f>IFERROR(__xludf.DUMMYFUNCTION("""COMPUTED_VALUE"""),"À")</f>
        <v>À</v>
      </c>
      <c r="AA338" s="18" t="str">
        <f>IFERROR(__xludf.DUMMYFUNCTION("""COMPUTED_VALUE"""),"PREVENÇÃO")</f>
        <v>PREVENÇÃO</v>
      </c>
      <c r="AB338" s="18" t="str">
        <f>IFERROR(__xludf.DUMMYFUNCTION("""COMPUTED_VALUE"""),"DE")</f>
        <v>DE</v>
      </c>
      <c r="AC338" s="18" t="str">
        <f>IFERROR(__xludf.DUMMYFUNCTION("""COMPUTED_VALUE"""),"ACIDENTES")</f>
        <v>ACIDENTES</v>
      </c>
      <c r="AD338" s="18" t="str">
        <f>IFERROR(__xludf.DUMMYFUNCTION("""COMPUTED_VALUE"""),"DE")</f>
        <v>DE</v>
      </c>
      <c r="AE338" s="18" t="str">
        <f>IFERROR(__xludf.DUMMYFUNCTION("""COMPUTED_VALUE"""),"TRÂNSITO")</f>
        <v>TRÂNSITO</v>
      </c>
      <c r="AF338" s="18" t="str">
        <f>IFERROR(__xludf.DUMMYFUNCTION("""COMPUTED_VALUE"""),"NAS")</f>
        <v>NAS</v>
      </c>
      <c r="AG338" s="18" t="str">
        <f>IFERROR(__xludf.DUMMYFUNCTION("""COMPUTED_VALUE"""),"RODOVIAS")</f>
        <v>RODOVIAS</v>
      </c>
      <c r="AH338" s="18" t="str">
        <f>IFERROR(__xludf.DUMMYFUNCTION("""COMPUTED_VALUE"""),"FEDERAIS")</f>
        <v>FEDERAIS</v>
      </c>
      <c r="AI338" s="18" t="str">
        <f>IFERROR(__xludf.DUMMYFUNCTION("""COMPUTED_VALUE"""),"BRASILEIRAS")</f>
        <v>BRASILEIRAS</v>
      </c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</row>
    <row r="339">
      <c r="A339" s="22"/>
      <c r="B339" s="23"/>
      <c r="C339" s="24"/>
      <c r="D339" s="24"/>
      <c r="E339" s="18"/>
      <c r="F339" s="18"/>
      <c r="G339" s="25">
        <f t="shared" ref="G339:I339" si="283">G338</f>
        <v>2019</v>
      </c>
      <c r="H339" s="20" t="str">
        <f t="shared" si="283"/>
        <v>pdadfd2019</v>
      </c>
      <c r="I339" s="20" t="str">
        <f t="shared" si="283"/>
        <v>PROPOSTA DE APLICAÇÃO DA FUSÃO DE DADOS E INFORMAÇÕES NO APOIO À PREVENÇÃO DE ACIDENTES DE TRÂNSITO NAS RODOVIAS FEDERAIS BRASILEIRAS</v>
      </c>
      <c r="J339" s="20" t="str">
        <f t="shared" si="2"/>
        <v>Fusão de Dados e Informações</v>
      </c>
      <c r="K339" s="20"/>
      <c r="L339" s="20" t="str">
        <f t="shared" si="3"/>
        <v>fusão de dados e informações</v>
      </c>
      <c r="M339" s="18"/>
      <c r="N339" s="21" t="str">
        <f>IFERROR(__xludf.DUMMYFUNCTION("""COMPUTED_VALUE""")," Fusão de Dados e Informações")</f>
        <v> Fusão de Dados e Informações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</row>
    <row r="340">
      <c r="A340" s="22"/>
      <c r="B340" s="23"/>
      <c r="C340" s="24"/>
      <c r="D340" s="24"/>
      <c r="E340" s="18"/>
      <c r="F340" s="18"/>
      <c r="G340" s="25">
        <f t="shared" ref="G340:I340" si="284">G339</f>
        <v>2019</v>
      </c>
      <c r="H340" s="20" t="str">
        <f t="shared" si="284"/>
        <v>pdadfd2019</v>
      </c>
      <c r="I340" s="20" t="str">
        <f t="shared" si="284"/>
        <v>PROPOSTA DE APLICAÇÃO DA FUSÃO DE DADOS E INFORMAÇÕES NO APOIO À PREVENÇÃO DE ACIDENTES DE TRÂNSITO NAS RODOVIAS FEDERAIS BRASILEIRAS</v>
      </c>
      <c r="J340" s="20" t="str">
        <f t="shared" si="2"/>
        <v>Rodovias Federais Brasileiras</v>
      </c>
      <c r="K340" s="20"/>
      <c r="L340" s="20" t="str">
        <f t="shared" si="3"/>
        <v>rodovias federais brasileiras</v>
      </c>
      <c r="M340" s="18"/>
      <c r="N340" s="21" t="str">
        <f>IFERROR(__xludf.DUMMYFUNCTION("""COMPUTED_VALUE""")," Rodovias Federais Brasileiras")</f>
        <v> Rodovias Federais Brasileiras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</row>
    <row r="341">
      <c r="A341" s="22"/>
      <c r="B341" s="23"/>
      <c r="C341" s="24"/>
      <c r="D341" s="24"/>
      <c r="E341" s="18"/>
      <c r="F341" s="18"/>
      <c r="G341" s="25">
        <f t="shared" ref="G341:I341" si="285">G340</f>
        <v>2019</v>
      </c>
      <c r="H341" s="20" t="str">
        <f t="shared" si="285"/>
        <v>pdadfd2019</v>
      </c>
      <c r="I341" s="20" t="str">
        <f t="shared" si="285"/>
        <v>PROPOSTA DE APLICAÇÃO DA FUSÃO DE DADOS E INFORMAÇÕES NO APOIO À PREVENÇÃO DE ACIDENTES DE TRÂNSITO NAS RODOVIAS FEDERAIS BRASILEIRAS</v>
      </c>
      <c r="J341" s="20" t="str">
        <f t="shared" si="2"/>
        <v/>
      </c>
      <c r="K341" s="20"/>
      <c r="L341" s="20" t="str">
        <f t="shared" si="3"/>
        <v/>
      </c>
      <c r="M341" s="18"/>
      <c r="N341" s="21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</row>
    <row r="342">
      <c r="A342" s="22"/>
      <c r="B342" s="23"/>
      <c r="C342" s="24"/>
      <c r="D342" s="24"/>
      <c r="E342" s="18"/>
      <c r="F342" s="18"/>
      <c r="G342" s="25">
        <f t="shared" ref="G342:I342" si="286">G341</f>
        <v>2019</v>
      </c>
      <c r="H342" s="20" t="str">
        <f t="shared" si="286"/>
        <v>pdadfd2019</v>
      </c>
      <c r="I342" s="20" t="str">
        <f t="shared" si="286"/>
        <v>PROPOSTA DE APLICAÇÃO DA FUSÃO DE DADOS E INFORMAÇÕES NO APOIO À PREVENÇÃO DE ACIDENTES DE TRÂNSITO NAS RODOVIAS FEDERAIS BRASILEIRAS</v>
      </c>
      <c r="J342" s="20" t="str">
        <f t="shared" si="2"/>
        <v/>
      </c>
      <c r="K342" s="20"/>
      <c r="L342" s="20" t="str">
        <f t="shared" si="3"/>
        <v/>
      </c>
      <c r="M342" s="18"/>
      <c r="N342" s="21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</row>
    <row r="343">
      <c r="A343" s="8"/>
      <c r="B343" s="23"/>
      <c r="C343" s="24"/>
      <c r="D343" s="24"/>
      <c r="E343" s="18"/>
      <c r="F343" s="18"/>
      <c r="G343" s="25">
        <f t="shared" ref="G343:I343" si="287">G342</f>
        <v>2019</v>
      </c>
      <c r="H343" s="20" t="str">
        <f t="shared" si="287"/>
        <v>pdadfd2019</v>
      </c>
      <c r="I343" s="20" t="str">
        <f t="shared" si="287"/>
        <v>PROPOSTA DE APLICAÇÃO DA FUSÃO DE DADOS E INFORMAÇÕES NO APOIO À PREVENÇÃO DE ACIDENTES DE TRÂNSITO NAS RODOVIAS FEDERAIS BRASILEIRAS</v>
      </c>
      <c r="J343" s="20" t="str">
        <f t="shared" si="2"/>
        <v/>
      </c>
      <c r="K343" s="20"/>
      <c r="L343" s="20" t="str">
        <f t="shared" si="3"/>
        <v/>
      </c>
      <c r="M343" s="18"/>
      <c r="N343" s="21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</row>
    <row r="344">
      <c r="A344" s="8" t="s">
        <v>54</v>
      </c>
      <c r="B344" s="29">
        <v>2019.0</v>
      </c>
      <c r="C344" s="10" t="s">
        <v>169</v>
      </c>
      <c r="D344" s="10" t="s">
        <v>168</v>
      </c>
      <c r="E344" s="18"/>
      <c r="F344" s="18"/>
      <c r="G344" s="12">
        <f>B344</f>
        <v>2019</v>
      </c>
      <c r="H344" s="13" t="str">
        <f>LOWER(left(O344,1)&amp;left(P344,1)&amp;left(Q344,1)&amp;left(R344,1)&amp;left(S344,1)&amp;left(T344,1))&amp;G344</f>
        <v>usspet2019</v>
      </c>
      <c r="I344" s="20" t="str">
        <f>trim(C344)</f>
        <v>UMA SOLUÇÃO SEMI-AUTOMÁTICA PARA EXTRAÇÃO, TRANSFORMAÇÃO E CARGA DE DADOS ABERTOS CONECTADOS</v>
      </c>
      <c r="J344" s="20" t="str">
        <f t="shared" si="2"/>
        <v>Prevenção de Acidentes de Trânsito</v>
      </c>
      <c r="K344" s="20"/>
      <c r="L344" s="20" t="str">
        <f t="shared" si="3"/>
        <v>prevenção de acidentes de trânsito</v>
      </c>
      <c r="M344" s="18"/>
      <c r="N344" s="21" t="str">
        <f>IFERROR(__xludf.DUMMYFUNCTION("TRANSPOSE(split(D344,"";"",true,true))"),"Prevenção de Acidentes de Trânsito")</f>
        <v>Prevenção de Acidentes de Trânsito</v>
      </c>
      <c r="O344" s="6" t="str">
        <f>IFERROR(__xludf.DUMMYFUNCTION("split(C344,"" "")"),"UMA")</f>
        <v>UMA</v>
      </c>
      <c r="P344" s="18" t="str">
        <f>IFERROR(__xludf.DUMMYFUNCTION("""COMPUTED_VALUE"""),"SOLUÇÃO")</f>
        <v>SOLUÇÃO</v>
      </c>
      <c r="Q344" s="18" t="str">
        <f>IFERROR(__xludf.DUMMYFUNCTION("""COMPUTED_VALUE"""),"SEMI-AUTOMÁTICA")</f>
        <v>SEMI-AUTOMÁTICA</v>
      </c>
      <c r="R344" s="18" t="str">
        <f>IFERROR(__xludf.DUMMYFUNCTION("""COMPUTED_VALUE"""),"PARA")</f>
        <v>PARA</v>
      </c>
      <c r="S344" s="18" t="str">
        <f>IFERROR(__xludf.DUMMYFUNCTION("""COMPUTED_VALUE"""),"EXTRAÇÃO,")</f>
        <v>EXTRAÇÃO,</v>
      </c>
      <c r="T344" s="18" t="str">
        <f>IFERROR(__xludf.DUMMYFUNCTION("""COMPUTED_VALUE"""),"TRANSFORMAÇÃO")</f>
        <v>TRANSFORMAÇÃO</v>
      </c>
      <c r="U344" s="18" t="str">
        <f>IFERROR(__xludf.DUMMYFUNCTION("""COMPUTED_VALUE"""),"E")</f>
        <v>E</v>
      </c>
      <c r="V344" s="18" t="str">
        <f>IFERROR(__xludf.DUMMYFUNCTION("""COMPUTED_VALUE"""),"CARGA")</f>
        <v>CARGA</v>
      </c>
      <c r="W344" s="18" t="str">
        <f>IFERROR(__xludf.DUMMYFUNCTION("""COMPUTED_VALUE"""),"DE")</f>
        <v>DE</v>
      </c>
      <c r="X344" s="18" t="str">
        <f>IFERROR(__xludf.DUMMYFUNCTION("""COMPUTED_VALUE"""),"DADOS")</f>
        <v>DADOS</v>
      </c>
      <c r="Y344" s="18" t="str">
        <f>IFERROR(__xludf.DUMMYFUNCTION("""COMPUTED_VALUE"""),"ABERTOS")</f>
        <v>ABERTOS</v>
      </c>
      <c r="Z344" s="18" t="str">
        <f>IFERROR(__xludf.DUMMYFUNCTION("""COMPUTED_VALUE"""),"CONECTADOS")</f>
        <v>CONECTADOS</v>
      </c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</row>
    <row r="345">
      <c r="A345" s="22"/>
      <c r="B345" s="23"/>
      <c r="C345" s="24"/>
      <c r="D345" s="24"/>
      <c r="E345" s="18"/>
      <c r="F345" s="18"/>
      <c r="G345" s="25">
        <f t="shared" ref="G345:I345" si="288">G344</f>
        <v>2019</v>
      </c>
      <c r="H345" s="20" t="str">
        <f t="shared" si="288"/>
        <v>usspet2019</v>
      </c>
      <c r="I345" s="20" t="str">
        <f t="shared" si="288"/>
        <v>UMA SOLUÇÃO SEMI-AUTOMÁTICA PARA EXTRAÇÃO, TRANSFORMAÇÃO E CARGA DE DADOS ABERTOS CONECTADOS</v>
      </c>
      <c r="J345" s="20" t="str">
        <f t="shared" si="2"/>
        <v>Fusão de Dados e Informações</v>
      </c>
      <c r="K345" s="20"/>
      <c r="L345" s="20" t="str">
        <f t="shared" si="3"/>
        <v>fusão de dados e informações</v>
      </c>
      <c r="M345" s="18"/>
      <c r="N345" s="21" t="str">
        <f>IFERROR(__xludf.DUMMYFUNCTION("""COMPUTED_VALUE""")," Fusão de Dados e Informações")</f>
        <v> Fusão de Dados e Informações</v>
      </c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</row>
    <row r="346">
      <c r="A346" s="22"/>
      <c r="B346" s="23"/>
      <c r="C346" s="24"/>
      <c r="D346" s="24"/>
      <c r="E346" s="18"/>
      <c r="F346" s="18"/>
      <c r="G346" s="25">
        <f t="shared" ref="G346:I346" si="289">G345</f>
        <v>2019</v>
      </c>
      <c r="H346" s="20" t="str">
        <f t="shared" si="289"/>
        <v>usspet2019</v>
      </c>
      <c r="I346" s="20" t="str">
        <f t="shared" si="289"/>
        <v>UMA SOLUÇÃO SEMI-AUTOMÁTICA PARA EXTRAÇÃO, TRANSFORMAÇÃO E CARGA DE DADOS ABERTOS CONECTADOS</v>
      </c>
      <c r="J346" s="20" t="str">
        <f t="shared" si="2"/>
        <v>Rodovias Federais Brasileiras</v>
      </c>
      <c r="K346" s="20"/>
      <c r="L346" s="20" t="str">
        <f t="shared" si="3"/>
        <v>rodovias federais brasileiras</v>
      </c>
      <c r="M346" s="18"/>
      <c r="N346" s="21" t="str">
        <f>IFERROR(__xludf.DUMMYFUNCTION("""COMPUTED_VALUE""")," Rodovias Federais Brasileiras")</f>
        <v> Rodovias Federais Brasileiras</v>
      </c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</row>
    <row r="347">
      <c r="A347" s="22"/>
      <c r="B347" s="23"/>
      <c r="C347" s="24"/>
      <c r="D347" s="24"/>
      <c r="E347" s="18"/>
      <c r="F347" s="18"/>
      <c r="G347" s="25">
        <f t="shared" ref="G347:I347" si="290">G346</f>
        <v>2019</v>
      </c>
      <c r="H347" s="20" t="str">
        <f t="shared" si="290"/>
        <v>usspet2019</v>
      </c>
      <c r="I347" s="20" t="str">
        <f t="shared" si="290"/>
        <v>UMA SOLUÇÃO SEMI-AUTOMÁTICA PARA EXTRAÇÃO, TRANSFORMAÇÃO E CARGA DE DADOS ABERTOS CONECTADOS</v>
      </c>
      <c r="J347" s="20" t="str">
        <f t="shared" si="2"/>
        <v/>
      </c>
      <c r="K347" s="20"/>
      <c r="L347" s="20" t="str">
        <f t="shared" si="3"/>
        <v/>
      </c>
      <c r="M347" s="18"/>
      <c r="N347" s="21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</row>
    <row r="348">
      <c r="A348" s="22"/>
      <c r="B348" s="23"/>
      <c r="C348" s="24"/>
      <c r="D348" s="24"/>
      <c r="E348" s="18"/>
      <c r="F348" s="18"/>
      <c r="G348" s="25">
        <f t="shared" ref="G348:I348" si="291">G347</f>
        <v>2019</v>
      </c>
      <c r="H348" s="20" t="str">
        <f t="shared" si="291"/>
        <v>usspet2019</v>
      </c>
      <c r="I348" s="20" t="str">
        <f t="shared" si="291"/>
        <v>UMA SOLUÇÃO SEMI-AUTOMÁTICA PARA EXTRAÇÃO, TRANSFORMAÇÃO E CARGA DE DADOS ABERTOS CONECTADOS</v>
      </c>
      <c r="J348" s="20" t="str">
        <f t="shared" si="2"/>
        <v/>
      </c>
      <c r="K348" s="20"/>
      <c r="L348" s="20" t="str">
        <f t="shared" si="3"/>
        <v/>
      </c>
      <c r="M348" s="18"/>
      <c r="N348" s="21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</row>
    <row r="349">
      <c r="A349" s="8"/>
      <c r="B349" s="23"/>
      <c r="C349" s="24"/>
      <c r="D349" s="24"/>
      <c r="E349" s="18"/>
      <c r="F349" s="18"/>
      <c r="G349" s="25">
        <f t="shared" ref="G349:I349" si="292">G348</f>
        <v>2019</v>
      </c>
      <c r="H349" s="20" t="str">
        <f t="shared" si="292"/>
        <v>usspet2019</v>
      </c>
      <c r="I349" s="20" t="str">
        <f t="shared" si="292"/>
        <v>UMA SOLUÇÃO SEMI-AUTOMÁTICA PARA EXTRAÇÃO, TRANSFORMAÇÃO E CARGA DE DADOS ABERTOS CONECTADOS</v>
      </c>
      <c r="J349" s="20" t="str">
        <f t="shared" si="2"/>
        <v/>
      </c>
      <c r="K349" s="20"/>
      <c r="L349" s="20" t="str">
        <f t="shared" si="3"/>
        <v/>
      </c>
      <c r="M349" s="18"/>
      <c r="N349" s="21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</row>
    <row r="350">
      <c r="A350" s="8" t="s">
        <v>54</v>
      </c>
      <c r="B350" s="29">
        <v>2019.0</v>
      </c>
      <c r="C350" s="10" t="s">
        <v>170</v>
      </c>
      <c r="D350" s="10" t="s">
        <v>171</v>
      </c>
      <c r="E350" s="18"/>
      <c r="F350" s="18"/>
      <c r="G350" s="12">
        <f>B350</f>
        <v>2019</v>
      </c>
      <c r="H350" s="13" t="str">
        <f>LOWER(left(O350,1)&amp;left(P350,1)&amp;left(Q350,1)&amp;left(R350,1)&amp;left(S350,1)&amp;left(T350,1))&amp;G350</f>
        <v>wdaddp2019</v>
      </c>
      <c r="I350" s="20" t="str">
        <f>trim(C350)</f>
        <v>WORKFLOW DE AGREGAÇÃO DE DADOS: PROCESSOS PARA CRIAÇÃO DE UMA INTERFACE DE BUSCA INTEGRADA DO PATRIMÔNIO CULTURAL</v>
      </c>
      <c r="J350" s="20" t="str">
        <f t="shared" si="2"/>
        <v>workflow de agregação</v>
      </c>
      <c r="K350" s="20"/>
      <c r="L350" s="20" t="str">
        <f t="shared" si="3"/>
        <v>workflow de agregação</v>
      </c>
      <c r="M350" s="18"/>
      <c r="N350" s="21" t="str">
        <f>IFERROR(__xludf.DUMMYFUNCTION("TRANSPOSE(split(D350,"";"",true,true))")," workflow de agregação")</f>
        <v> workflow de agregação</v>
      </c>
      <c r="O350" s="6" t="str">
        <f>IFERROR(__xludf.DUMMYFUNCTION("split(C350,"" "")"),"WORKFLOW")</f>
        <v>WORKFLOW</v>
      </c>
      <c r="P350" s="18" t="str">
        <f>IFERROR(__xludf.DUMMYFUNCTION("""COMPUTED_VALUE"""),"DE")</f>
        <v>DE</v>
      </c>
      <c r="Q350" s="18" t="str">
        <f>IFERROR(__xludf.DUMMYFUNCTION("""COMPUTED_VALUE"""),"AGREGAÇÃO")</f>
        <v>AGREGAÇÃO</v>
      </c>
      <c r="R350" s="18" t="str">
        <f>IFERROR(__xludf.DUMMYFUNCTION("""COMPUTED_VALUE"""),"DE")</f>
        <v>DE</v>
      </c>
      <c r="S350" s="18" t="str">
        <f>IFERROR(__xludf.DUMMYFUNCTION("""COMPUTED_VALUE"""),"DADOS:")</f>
        <v>DADOS:</v>
      </c>
      <c r="T350" s="18" t="str">
        <f>IFERROR(__xludf.DUMMYFUNCTION("""COMPUTED_VALUE"""),"PROCESSOS")</f>
        <v>PROCESSOS</v>
      </c>
      <c r="U350" s="18" t="str">
        <f>IFERROR(__xludf.DUMMYFUNCTION("""COMPUTED_VALUE"""),"PARA")</f>
        <v>PARA</v>
      </c>
      <c r="V350" s="18" t="str">
        <f>IFERROR(__xludf.DUMMYFUNCTION("""COMPUTED_VALUE"""),"CRIAÇÃO")</f>
        <v>CRIAÇÃO</v>
      </c>
      <c r="W350" s="18" t="str">
        <f>IFERROR(__xludf.DUMMYFUNCTION("""COMPUTED_VALUE"""),"DE")</f>
        <v>DE</v>
      </c>
      <c r="X350" s="18" t="str">
        <f>IFERROR(__xludf.DUMMYFUNCTION("""COMPUTED_VALUE"""),"UMA")</f>
        <v>UMA</v>
      </c>
      <c r="Y350" s="18" t="str">
        <f>IFERROR(__xludf.DUMMYFUNCTION("""COMPUTED_VALUE"""),"INTERFACE")</f>
        <v>INTERFACE</v>
      </c>
      <c r="Z350" s="18" t="str">
        <f>IFERROR(__xludf.DUMMYFUNCTION("""COMPUTED_VALUE"""),"DE")</f>
        <v>DE</v>
      </c>
      <c r="AA350" s="18" t="str">
        <f>IFERROR(__xludf.DUMMYFUNCTION("""COMPUTED_VALUE"""),"BUSCA")</f>
        <v>BUSCA</v>
      </c>
      <c r="AB350" s="18" t="str">
        <f>IFERROR(__xludf.DUMMYFUNCTION("""COMPUTED_VALUE"""),"INTEGRADA")</f>
        <v>INTEGRADA</v>
      </c>
      <c r="AC350" s="18" t="str">
        <f>IFERROR(__xludf.DUMMYFUNCTION("""COMPUTED_VALUE"""),"DO")</f>
        <v>DO</v>
      </c>
      <c r="AD350" s="18" t="str">
        <f>IFERROR(__xludf.DUMMYFUNCTION("""COMPUTED_VALUE"""),"PATRIMÔNIO")</f>
        <v>PATRIMÔNIO</v>
      </c>
      <c r="AE350" s="18" t="str">
        <f>IFERROR(__xludf.DUMMYFUNCTION("""COMPUTED_VALUE"""),"CULTURAL")</f>
        <v>CULTURAL</v>
      </c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</row>
    <row r="351">
      <c r="A351" s="22"/>
      <c r="B351" s="23"/>
      <c r="C351" s="24"/>
      <c r="D351" s="24"/>
      <c r="E351" s="18"/>
      <c r="F351" s="18"/>
      <c r="G351" s="25">
        <f t="shared" ref="G351:I351" si="293">G350</f>
        <v>2019</v>
      </c>
      <c r="H351" s="20" t="str">
        <f t="shared" si="293"/>
        <v>wdaddp2019</v>
      </c>
      <c r="I351" s="20" t="str">
        <f t="shared" si="293"/>
        <v>WORKFLOW DE AGREGAÇÃO DE DADOS: PROCESSOS PARA CRIAÇÃO DE UMA INTERFACE DE BUSCA INTEGRADA DO PATRIMÔNIO CULTURAL</v>
      </c>
      <c r="J351" s="20" t="str">
        <f t="shared" si="2"/>
        <v>busca integrada</v>
      </c>
      <c r="K351" s="20"/>
      <c r="L351" s="20" t="str">
        <f t="shared" si="3"/>
        <v>busca integrada</v>
      </c>
      <c r="M351" s="18"/>
      <c r="N351" s="21" t="str">
        <f>IFERROR(__xludf.DUMMYFUNCTION("""COMPUTED_VALUE""")," busca integrada")</f>
        <v> busca integrada</v>
      </c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</row>
    <row r="352">
      <c r="A352" s="22"/>
      <c r="B352" s="23"/>
      <c r="C352" s="24"/>
      <c r="D352" s="24"/>
      <c r="E352" s="18"/>
      <c r="F352" s="18"/>
      <c r="G352" s="25">
        <f t="shared" ref="G352:I352" si="294">G351</f>
        <v>2019</v>
      </c>
      <c r="H352" s="20" t="str">
        <f t="shared" si="294"/>
        <v>wdaddp2019</v>
      </c>
      <c r="I352" s="20" t="str">
        <f t="shared" si="294"/>
        <v>WORKFLOW DE AGREGAÇÃO DE DADOS: PROCESSOS PARA CRIAÇÃO DE UMA INTERFACE DE BUSCA INTEGRADA DO PATRIMÔNIO CULTURAL</v>
      </c>
      <c r="J352" s="20" t="str">
        <f t="shared" si="2"/>
        <v>patrimônio cultural</v>
      </c>
      <c r="K352" s="20"/>
      <c r="L352" s="20" t="str">
        <f t="shared" si="3"/>
        <v>patrimônio cultural</v>
      </c>
      <c r="M352" s="18"/>
      <c r="N352" s="21" t="str">
        <f>IFERROR(__xludf.DUMMYFUNCTION("""COMPUTED_VALUE""")," patrimônio cultural")</f>
        <v> patrimônio cultural</v>
      </c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</row>
    <row r="353">
      <c r="A353" s="22"/>
      <c r="B353" s="23"/>
      <c r="C353" s="24"/>
      <c r="D353" s="24"/>
      <c r="E353" s="18"/>
      <c r="F353" s="18"/>
      <c r="G353" s="25">
        <f t="shared" ref="G353:I353" si="295">G352</f>
        <v>2019</v>
      </c>
      <c r="H353" s="20" t="str">
        <f t="shared" si="295"/>
        <v>wdaddp2019</v>
      </c>
      <c r="I353" s="20" t="str">
        <f t="shared" si="295"/>
        <v>WORKFLOW DE AGREGAÇÃO DE DADOS: PROCESSOS PARA CRIAÇÃO DE UMA INTERFACE DE BUSCA INTEGRADA DO PATRIMÔNIO CULTURAL</v>
      </c>
      <c r="J353" s="20" t="str">
        <f t="shared" si="2"/>
        <v>instituições culturais</v>
      </c>
      <c r="K353" s="20"/>
      <c r="L353" s="20" t="str">
        <f t="shared" si="3"/>
        <v>instituições culturais</v>
      </c>
      <c r="M353" s="18"/>
      <c r="N353" s="21" t="str">
        <f>IFERROR(__xludf.DUMMYFUNCTION("""COMPUTED_VALUE""")," instituições culturais")</f>
        <v> instituições culturais</v>
      </c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</row>
    <row r="354">
      <c r="A354" s="22"/>
      <c r="B354" s="23"/>
      <c r="C354" s="24"/>
      <c r="D354" s="24"/>
      <c r="E354" s="18"/>
      <c r="F354" s="18"/>
      <c r="G354" s="25">
        <f t="shared" ref="G354:I354" si="296">G353</f>
        <v>2019</v>
      </c>
      <c r="H354" s="20" t="str">
        <f t="shared" si="296"/>
        <v>wdaddp2019</v>
      </c>
      <c r="I354" s="20" t="str">
        <f t="shared" si="296"/>
        <v>WORKFLOW DE AGREGAÇÃO DE DADOS: PROCESSOS PARA CRIAÇÃO DE UMA INTERFACE DE BUSCA INTEGRADA DO PATRIMÔNIO CULTURAL</v>
      </c>
      <c r="J354" s="20" t="str">
        <f t="shared" si="2"/>
        <v/>
      </c>
      <c r="K354" s="20"/>
      <c r="L354" s="20" t="str">
        <f t="shared" si="3"/>
        <v/>
      </c>
      <c r="M354" s="18"/>
      <c r="N354" s="21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</row>
    <row r="355">
      <c r="A355" s="8"/>
      <c r="B355" s="23"/>
      <c r="C355" s="24"/>
      <c r="D355" s="24"/>
      <c r="E355" s="18"/>
      <c r="F355" s="18"/>
      <c r="G355" s="25">
        <f t="shared" ref="G355:I355" si="297">G354</f>
        <v>2019</v>
      </c>
      <c r="H355" s="20" t="str">
        <f t="shared" si="297"/>
        <v>wdaddp2019</v>
      </c>
      <c r="I355" s="20" t="str">
        <f t="shared" si="297"/>
        <v>WORKFLOW DE AGREGAÇÃO DE DADOS: PROCESSOS PARA CRIAÇÃO DE UMA INTERFACE DE BUSCA INTEGRADA DO PATRIMÔNIO CULTURAL</v>
      </c>
      <c r="J355" s="20" t="str">
        <f t="shared" si="2"/>
        <v/>
      </c>
      <c r="K355" s="20"/>
      <c r="L355" s="20" t="str">
        <f t="shared" si="3"/>
        <v/>
      </c>
      <c r="M355" s="18"/>
      <c r="N355" s="21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</row>
    <row r="356">
      <c r="A356" s="8" t="s">
        <v>54</v>
      </c>
      <c r="B356" s="29">
        <v>2019.0</v>
      </c>
      <c r="C356" s="10" t="s">
        <v>172</v>
      </c>
      <c r="D356" s="10" t="s">
        <v>173</v>
      </c>
      <c r="E356" s="18"/>
      <c r="F356" s="18"/>
      <c r="G356" s="12">
        <f>B356</f>
        <v>2019</v>
      </c>
      <c r="H356" s="13" t="str">
        <f>LOWER(left(O356,1)&amp;left(P356,1)&amp;left(Q356,1)&amp;left(R356,1)&amp;left(S356,1)&amp;left(T356,1))&amp;G356</f>
        <v>ueprdc2019</v>
      </c>
      <c r="I356" s="20" t="str">
        <f>trim(C356)</f>
        <v>UMA ESTRATÉGIA PARA RECOMENDAÇÃO DE COLABORADORES EM REPOSITÓRIOS DE DADOS CIENTÍFICOS</v>
      </c>
      <c r="J356" s="20" t="str">
        <f t="shared" si="2"/>
        <v>redes</v>
      </c>
      <c r="K356" s="20"/>
      <c r="L356" s="20" t="str">
        <f t="shared" si="3"/>
        <v>redes</v>
      </c>
      <c r="M356" s="18"/>
      <c r="N356" s="21" t="str">
        <f>IFERROR(__xludf.DUMMYFUNCTION("TRANSPOSE(split(D356,"";"",true,true))"),"redes")</f>
        <v>redes</v>
      </c>
      <c r="O356" s="6" t="str">
        <f>IFERROR(__xludf.DUMMYFUNCTION("split(C356,"" "")"),"UMA")</f>
        <v>UMA</v>
      </c>
      <c r="P356" s="18" t="str">
        <f>IFERROR(__xludf.DUMMYFUNCTION("""COMPUTED_VALUE"""),"ESTRATÉGIA")</f>
        <v>ESTRATÉGIA</v>
      </c>
      <c r="Q356" s="18" t="str">
        <f>IFERROR(__xludf.DUMMYFUNCTION("""COMPUTED_VALUE"""),"PARA")</f>
        <v>PARA</v>
      </c>
      <c r="R356" s="18" t="str">
        <f>IFERROR(__xludf.DUMMYFUNCTION("""COMPUTED_VALUE"""),"RECOMENDAÇÃO")</f>
        <v>RECOMENDAÇÃO</v>
      </c>
      <c r="S356" s="18" t="str">
        <f>IFERROR(__xludf.DUMMYFUNCTION("""COMPUTED_VALUE"""),"DE")</f>
        <v>DE</v>
      </c>
      <c r="T356" s="18" t="str">
        <f>IFERROR(__xludf.DUMMYFUNCTION("""COMPUTED_VALUE"""),"COLABORADORES")</f>
        <v>COLABORADORES</v>
      </c>
      <c r="U356" s="18" t="str">
        <f>IFERROR(__xludf.DUMMYFUNCTION("""COMPUTED_VALUE"""),"EM")</f>
        <v>EM</v>
      </c>
      <c r="V356" s="18" t="str">
        <f>IFERROR(__xludf.DUMMYFUNCTION("""COMPUTED_VALUE"""),"REPOSITÓRIOS")</f>
        <v>REPOSITÓRIOS</v>
      </c>
      <c r="W356" s="18" t="str">
        <f>IFERROR(__xludf.DUMMYFUNCTION("""COMPUTED_VALUE"""),"DE")</f>
        <v>DE</v>
      </c>
      <c r="X356" s="18" t="str">
        <f>IFERROR(__xludf.DUMMYFUNCTION("""COMPUTED_VALUE"""),"DADOS")</f>
        <v>DADOS</v>
      </c>
      <c r="Y356" s="18" t="str">
        <f>IFERROR(__xludf.DUMMYFUNCTION("""COMPUTED_VALUE"""),"CIENTÍFICOS")</f>
        <v>CIENTÍFICOS</v>
      </c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</row>
    <row r="357">
      <c r="A357" s="22"/>
      <c r="B357" s="23"/>
      <c r="C357" s="24"/>
      <c r="D357" s="24"/>
      <c r="E357" s="18"/>
      <c r="F357" s="18"/>
      <c r="G357" s="25">
        <f t="shared" ref="G357:I357" si="298">G356</f>
        <v>2019</v>
      </c>
      <c r="H357" s="20" t="str">
        <f t="shared" si="298"/>
        <v>ueprdc2019</v>
      </c>
      <c r="I357" s="20" t="str">
        <f t="shared" si="298"/>
        <v>UMA ESTRATÉGIA PARA RECOMENDAÇÃO DE COLABORADORES EM REPOSITÓRIOS DE DADOS CIENTÍFICOS</v>
      </c>
      <c r="J357" s="20" t="str">
        <f t="shared" si="2"/>
        <v>colaboração científica</v>
      </c>
      <c r="K357" s="20"/>
      <c r="L357" s="20" t="str">
        <f t="shared" si="3"/>
        <v>colaboração científica</v>
      </c>
      <c r="M357" s="18"/>
      <c r="N357" s="21" t="str">
        <f>IFERROR(__xludf.DUMMYFUNCTION("""COMPUTED_VALUE""")," colaboração científica")</f>
        <v> colaboração científica</v>
      </c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</row>
    <row r="358">
      <c r="A358" s="22"/>
      <c r="B358" s="23"/>
      <c r="C358" s="24"/>
      <c r="D358" s="24"/>
      <c r="E358" s="18"/>
      <c r="F358" s="18"/>
      <c r="G358" s="25">
        <f t="shared" ref="G358:I358" si="299">G357</f>
        <v>2019</v>
      </c>
      <c r="H358" s="20" t="str">
        <f t="shared" si="299"/>
        <v>ueprdc2019</v>
      </c>
      <c r="I358" s="20" t="str">
        <f t="shared" si="299"/>
        <v>UMA ESTRATÉGIA PARA RECOMENDAÇÃO DE COLABORADORES EM REPOSITÓRIOS DE DADOS CIENTÍFICOS</v>
      </c>
      <c r="J358" s="20" t="str">
        <f t="shared" si="2"/>
        <v>predição de ligações.</v>
      </c>
      <c r="K358" s="20"/>
      <c r="L358" s="20" t="str">
        <f t="shared" si="3"/>
        <v>predição de ligações.</v>
      </c>
      <c r="M358" s="18"/>
      <c r="N358" s="21" t="str">
        <f>IFERROR(__xludf.DUMMYFUNCTION("""COMPUTED_VALUE""")," predição de ligações.")</f>
        <v> predição de ligações.</v>
      </c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</row>
    <row r="359">
      <c r="A359" s="22"/>
      <c r="B359" s="23"/>
      <c r="C359" s="24"/>
      <c r="D359" s="24"/>
      <c r="E359" s="18"/>
      <c r="F359" s="18"/>
      <c r="G359" s="25">
        <f t="shared" ref="G359:I359" si="300">G358</f>
        <v>2019</v>
      </c>
      <c r="H359" s="20" t="str">
        <f t="shared" si="300"/>
        <v>ueprdc2019</v>
      </c>
      <c r="I359" s="20" t="str">
        <f t="shared" si="300"/>
        <v>UMA ESTRATÉGIA PARA RECOMENDAÇÃO DE COLABORADORES EM REPOSITÓRIOS DE DADOS CIENTÍFICOS</v>
      </c>
      <c r="J359" s="20" t="str">
        <f t="shared" si="2"/>
        <v/>
      </c>
      <c r="K359" s="20"/>
      <c r="L359" s="20" t="str">
        <f t="shared" si="3"/>
        <v/>
      </c>
      <c r="M359" s="18"/>
      <c r="N359" s="21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</row>
    <row r="360">
      <c r="A360" s="22"/>
      <c r="B360" s="23"/>
      <c r="C360" s="24"/>
      <c r="D360" s="24"/>
      <c r="E360" s="18"/>
      <c r="F360" s="18"/>
      <c r="G360" s="25">
        <f t="shared" ref="G360:I360" si="301">G359</f>
        <v>2019</v>
      </c>
      <c r="H360" s="20" t="str">
        <f t="shared" si="301"/>
        <v>ueprdc2019</v>
      </c>
      <c r="I360" s="20" t="str">
        <f t="shared" si="301"/>
        <v>UMA ESTRATÉGIA PARA RECOMENDAÇÃO DE COLABORADORES EM REPOSITÓRIOS DE DADOS CIENTÍFICOS</v>
      </c>
      <c r="J360" s="20" t="str">
        <f t="shared" si="2"/>
        <v/>
      </c>
      <c r="K360" s="20"/>
      <c r="L360" s="20" t="str">
        <f t="shared" si="3"/>
        <v/>
      </c>
      <c r="M360" s="18"/>
      <c r="N360" s="21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</row>
    <row r="361">
      <c r="A361" s="8"/>
      <c r="B361" s="23"/>
      <c r="C361" s="24"/>
      <c r="D361" s="24"/>
      <c r="E361" s="18"/>
      <c r="F361" s="18"/>
      <c r="G361" s="25">
        <f t="shared" ref="G361:I361" si="302">G360</f>
        <v>2019</v>
      </c>
      <c r="H361" s="20" t="str">
        <f t="shared" si="302"/>
        <v>ueprdc2019</v>
      </c>
      <c r="I361" s="20" t="str">
        <f t="shared" si="302"/>
        <v>UMA ESTRATÉGIA PARA RECOMENDAÇÃO DE COLABORADORES EM REPOSITÓRIOS DE DADOS CIENTÍFICOS</v>
      </c>
      <c r="J361" s="20" t="str">
        <f t="shared" si="2"/>
        <v/>
      </c>
      <c r="K361" s="20"/>
      <c r="L361" s="20" t="str">
        <f t="shared" si="3"/>
        <v/>
      </c>
      <c r="M361" s="18"/>
      <c r="N361" s="21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</row>
    <row r="362">
      <c r="A362" s="8" t="s">
        <v>54</v>
      </c>
      <c r="B362" s="9">
        <v>2017.0</v>
      </c>
      <c r="C362" s="10" t="s">
        <v>174</v>
      </c>
      <c r="D362" s="10" t="s">
        <v>175</v>
      </c>
      <c r="E362" s="18"/>
      <c r="F362" s="18"/>
      <c r="G362" s="12">
        <f>B362</f>
        <v>2017</v>
      </c>
      <c r="H362" s="13" t="str">
        <f>LOWER(left(O362,1)&amp;left(P362,1)&amp;left(Q362,1)&amp;left(R362,1)&amp;left(S362,1)&amp;left(T362,1))&amp;G362</f>
        <v>uwapcd2017</v>
      </c>
      <c r="I362" s="20" t="str">
        <f>trim(C362)</f>
        <v>UM WORKFLOW AUTOMATIZADO PARA COMPARTILHAMENTO DE DADOS CIENTÍFICOS PRIMÁRIOS BASEADO EM DADOS ABERTOS CONECTADOS</v>
      </c>
      <c r="J362" s="20" t="str">
        <f t="shared" si="2"/>
        <v>Dados Abertos Conectados</v>
      </c>
      <c r="K362" s="20"/>
      <c r="L362" s="20" t="str">
        <f t="shared" si="3"/>
        <v>dados abertos conectados</v>
      </c>
      <c r="M362" s="18"/>
      <c r="N362" s="21" t="str">
        <f>IFERROR(__xludf.DUMMYFUNCTION("TRANSPOSE(split(D362,"";"",true,true))"),"Dados Abertos Conectados")</f>
        <v>Dados Abertos Conectados</v>
      </c>
      <c r="O362" s="6" t="str">
        <f>IFERROR(__xludf.DUMMYFUNCTION("split(C362,"" "")"),"UM")</f>
        <v>UM</v>
      </c>
      <c r="P362" s="18" t="str">
        <f>IFERROR(__xludf.DUMMYFUNCTION("""COMPUTED_VALUE"""),"WORKFLOW")</f>
        <v>WORKFLOW</v>
      </c>
      <c r="Q362" s="18" t="str">
        <f>IFERROR(__xludf.DUMMYFUNCTION("""COMPUTED_VALUE"""),"AUTOMATIZADO")</f>
        <v>AUTOMATIZADO</v>
      </c>
      <c r="R362" s="18" t="str">
        <f>IFERROR(__xludf.DUMMYFUNCTION("""COMPUTED_VALUE"""),"PARA")</f>
        <v>PARA</v>
      </c>
      <c r="S362" s="18" t="str">
        <f>IFERROR(__xludf.DUMMYFUNCTION("""COMPUTED_VALUE"""),"COMPARTILHAMENTO")</f>
        <v>COMPARTILHAMENTO</v>
      </c>
      <c r="T362" s="18" t="str">
        <f>IFERROR(__xludf.DUMMYFUNCTION("""COMPUTED_VALUE"""),"DE")</f>
        <v>DE</v>
      </c>
      <c r="U362" s="18" t="str">
        <f>IFERROR(__xludf.DUMMYFUNCTION("""COMPUTED_VALUE"""),"DADOS")</f>
        <v>DADOS</v>
      </c>
      <c r="V362" s="18" t="str">
        <f>IFERROR(__xludf.DUMMYFUNCTION("""COMPUTED_VALUE"""),"CIENTÍFICOS")</f>
        <v>CIENTÍFICOS</v>
      </c>
      <c r="W362" s="18" t="str">
        <f>IFERROR(__xludf.DUMMYFUNCTION("""COMPUTED_VALUE"""),"PRIMÁRIOS")</f>
        <v>PRIMÁRIOS</v>
      </c>
      <c r="X362" s="18" t="str">
        <f>IFERROR(__xludf.DUMMYFUNCTION("""COMPUTED_VALUE"""),"BASEADO")</f>
        <v>BASEADO</v>
      </c>
      <c r="Y362" s="18" t="str">
        <f>IFERROR(__xludf.DUMMYFUNCTION("""COMPUTED_VALUE"""),"EM")</f>
        <v>EM</v>
      </c>
      <c r="Z362" s="18" t="str">
        <f>IFERROR(__xludf.DUMMYFUNCTION("""COMPUTED_VALUE"""),"DADOS")</f>
        <v>DADOS</v>
      </c>
      <c r="AA362" s="18" t="str">
        <f>IFERROR(__xludf.DUMMYFUNCTION("""COMPUTED_VALUE"""),"ABERTOS")</f>
        <v>ABERTOS</v>
      </c>
      <c r="AB362" s="18" t="str">
        <f>IFERROR(__xludf.DUMMYFUNCTION("""COMPUTED_VALUE"""),"CONECTADOS")</f>
        <v>CONECTADOS</v>
      </c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</row>
    <row r="363">
      <c r="A363" s="22"/>
      <c r="B363" s="23"/>
      <c r="C363" s="24"/>
      <c r="D363" s="24"/>
      <c r="E363" s="18"/>
      <c r="F363" s="18"/>
      <c r="G363" s="25">
        <f t="shared" ref="G363:I363" si="303">G362</f>
        <v>2017</v>
      </c>
      <c r="H363" s="20" t="str">
        <f t="shared" si="303"/>
        <v>uwapcd2017</v>
      </c>
      <c r="I363" s="20" t="str">
        <f t="shared" si="303"/>
        <v>UM WORKFLOW AUTOMATIZADO PARA COMPARTILHAMENTO DE DADOS CIENTÍFICOS PRIMÁRIOS BASEADO EM DADOS ABERTOS CONECTADOS</v>
      </c>
      <c r="J363" s="20" t="str">
        <f t="shared" si="2"/>
        <v>Workflow</v>
      </c>
      <c r="K363" s="20"/>
      <c r="L363" s="20" t="str">
        <f t="shared" si="3"/>
        <v>workflow</v>
      </c>
      <c r="M363" s="18"/>
      <c r="N363" s="21" t="str">
        <f>IFERROR(__xludf.DUMMYFUNCTION("""COMPUTED_VALUE""")," Workflow")</f>
        <v> Workflow</v>
      </c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</row>
    <row r="364">
      <c r="A364" s="22"/>
      <c r="B364" s="23"/>
      <c r="C364" s="24"/>
      <c r="D364" s="24"/>
      <c r="E364" s="18"/>
      <c r="F364" s="18"/>
      <c r="G364" s="25">
        <f t="shared" ref="G364:I364" si="304">G363</f>
        <v>2017</v>
      </c>
      <c r="H364" s="20" t="str">
        <f t="shared" si="304"/>
        <v>uwapcd2017</v>
      </c>
      <c r="I364" s="20" t="str">
        <f t="shared" si="304"/>
        <v>UM WORKFLOW AUTOMATIZADO PARA COMPARTILHAMENTO DE DADOS CIENTÍFICOS PRIMÁRIOS BASEADO EM DADOS ABERTOS CONECTADOS</v>
      </c>
      <c r="J364" s="20" t="str">
        <f t="shared" si="2"/>
        <v>Workflow para Dados Abertos Conectados</v>
      </c>
      <c r="K364" s="20"/>
      <c r="L364" s="20" t="str">
        <f t="shared" si="3"/>
        <v>workflow para dados abertos conectados</v>
      </c>
      <c r="M364" s="18"/>
      <c r="N364" s="21" t="str">
        <f>IFERROR(__xludf.DUMMYFUNCTION("""COMPUTED_VALUE""")," Workflow para Dados Abertos Conectados")</f>
        <v> Workflow para Dados Abertos Conectados</v>
      </c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</row>
    <row r="365">
      <c r="A365" s="22"/>
      <c r="B365" s="23"/>
      <c r="C365" s="24"/>
      <c r="D365" s="24"/>
      <c r="E365" s="18"/>
      <c r="F365" s="18"/>
      <c r="G365" s="25">
        <f t="shared" ref="G365:I365" si="305">G364</f>
        <v>2017</v>
      </c>
      <c r="H365" s="20" t="str">
        <f t="shared" si="305"/>
        <v>uwapcd2017</v>
      </c>
      <c r="I365" s="20" t="str">
        <f t="shared" si="305"/>
        <v>UM WORKFLOW AUTOMATIZADO PARA COMPARTILHAMENTO DE DADOS CIENTÍFICOS PRIMÁRIOS BASEADO EM DADOS ABERTOS CONECTADOS</v>
      </c>
      <c r="J365" s="20" t="str">
        <f t="shared" si="2"/>
        <v>Dados Primários</v>
      </c>
      <c r="K365" s="20"/>
      <c r="L365" s="20" t="str">
        <f t="shared" si="3"/>
        <v>dados primários</v>
      </c>
      <c r="M365" s="18"/>
      <c r="N365" s="21" t="str">
        <f>IFERROR(__xludf.DUMMYFUNCTION("""COMPUTED_VALUE""")," Dados Primários")</f>
        <v> Dados Primários</v>
      </c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</row>
    <row r="366">
      <c r="A366" s="22"/>
      <c r="B366" s="23"/>
      <c r="C366" s="24"/>
      <c r="D366" s="24"/>
      <c r="E366" s="18"/>
      <c r="F366" s="18"/>
      <c r="G366" s="25">
        <f t="shared" ref="G366:I366" si="306">G365</f>
        <v>2017</v>
      </c>
      <c r="H366" s="20" t="str">
        <f t="shared" si="306"/>
        <v>uwapcd2017</v>
      </c>
      <c r="I366" s="20" t="str">
        <f t="shared" si="306"/>
        <v>UM WORKFLOW AUTOMATIZADO PARA COMPARTILHAMENTO DE DADOS CIENTÍFICOS PRIMÁRIOS BASEADO EM DADOS ABERTOS CONECTADOS</v>
      </c>
      <c r="J366" s="20" t="str">
        <f t="shared" si="2"/>
        <v/>
      </c>
      <c r="K366" s="20"/>
      <c r="L366" s="20" t="str">
        <f t="shared" si="3"/>
        <v/>
      </c>
      <c r="M366" s="18"/>
      <c r="N366" s="21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</row>
    <row r="367">
      <c r="A367" s="8"/>
      <c r="B367" s="23"/>
      <c r="C367" s="24"/>
      <c r="D367" s="24"/>
      <c r="E367" s="18"/>
      <c r="F367" s="18"/>
      <c r="G367" s="25">
        <f t="shared" ref="G367:I367" si="307">G366</f>
        <v>2017</v>
      </c>
      <c r="H367" s="20" t="str">
        <f t="shared" si="307"/>
        <v>uwapcd2017</v>
      </c>
      <c r="I367" s="20" t="str">
        <f t="shared" si="307"/>
        <v>UM WORKFLOW AUTOMATIZADO PARA COMPARTILHAMENTO DE DADOS CIENTÍFICOS PRIMÁRIOS BASEADO EM DADOS ABERTOS CONECTADOS</v>
      </c>
      <c r="J367" s="20" t="str">
        <f t="shared" si="2"/>
        <v/>
      </c>
      <c r="K367" s="20"/>
      <c r="L367" s="20" t="str">
        <f t="shared" si="3"/>
        <v/>
      </c>
      <c r="M367" s="18"/>
      <c r="N367" s="21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</row>
    <row r="368">
      <c r="A368" s="8" t="s">
        <v>54</v>
      </c>
      <c r="B368" s="9">
        <v>2017.0</v>
      </c>
      <c r="C368" s="10" t="s">
        <v>176</v>
      </c>
      <c r="D368" s="10" t="s">
        <v>177</v>
      </c>
      <c r="E368" s="18"/>
      <c r="F368" s="18"/>
      <c r="G368" s="12">
        <f>B368</f>
        <v>2017</v>
      </c>
      <c r="H368" s="13" t="str">
        <f>LOWER(left(O368,1)&amp;left(P368,1)&amp;left(Q368,1)&amp;left(R368,1)&amp;left(S368,1)&amp;left(T368,1))&amp;G368</f>
        <v>udslpd2017</v>
      </c>
      <c r="I368" s="20" t="str">
        <f>trim(C368)</f>
        <v>Uso de software livre para disseminação e análise de dados abertos governamentais</v>
      </c>
      <c r="J368" s="20" t="str">
        <f t="shared" si="2"/>
        <v>Softwares livres</v>
      </c>
      <c r="K368" s="20"/>
      <c r="L368" s="20" t="str">
        <f t="shared" si="3"/>
        <v>softwares livres</v>
      </c>
      <c r="M368" s="18"/>
      <c r="N368" s="21" t="str">
        <f>IFERROR(__xludf.DUMMYFUNCTION("TRANSPOSE(split(D368,"";"",true,true))"),"Softwares livres")</f>
        <v>Softwares livres</v>
      </c>
      <c r="O368" s="6" t="str">
        <f>IFERROR(__xludf.DUMMYFUNCTION("split(C368,"" "")"),"Uso")</f>
        <v>Uso</v>
      </c>
      <c r="P368" s="18" t="str">
        <f>IFERROR(__xludf.DUMMYFUNCTION("""COMPUTED_VALUE"""),"de")</f>
        <v>de</v>
      </c>
      <c r="Q368" s="18" t="str">
        <f>IFERROR(__xludf.DUMMYFUNCTION("""COMPUTED_VALUE"""),"software")</f>
        <v>software</v>
      </c>
      <c r="R368" s="18" t="str">
        <f>IFERROR(__xludf.DUMMYFUNCTION("""COMPUTED_VALUE"""),"livre")</f>
        <v>livre</v>
      </c>
      <c r="S368" s="18" t="str">
        <f>IFERROR(__xludf.DUMMYFUNCTION("""COMPUTED_VALUE"""),"para")</f>
        <v>para</v>
      </c>
      <c r="T368" s="18" t="str">
        <f>IFERROR(__xludf.DUMMYFUNCTION("""COMPUTED_VALUE"""),"disseminação")</f>
        <v>disseminação</v>
      </c>
      <c r="U368" s="18" t="str">
        <f>IFERROR(__xludf.DUMMYFUNCTION("""COMPUTED_VALUE"""),"e")</f>
        <v>e</v>
      </c>
      <c r="V368" s="18" t="str">
        <f>IFERROR(__xludf.DUMMYFUNCTION("""COMPUTED_VALUE"""),"análise")</f>
        <v>análise</v>
      </c>
      <c r="W368" s="18" t="str">
        <f>IFERROR(__xludf.DUMMYFUNCTION("""COMPUTED_VALUE"""),"de")</f>
        <v>de</v>
      </c>
      <c r="X368" s="18" t="str">
        <f>IFERROR(__xludf.DUMMYFUNCTION("""COMPUTED_VALUE"""),"dados")</f>
        <v>dados</v>
      </c>
      <c r="Y368" s="18" t="str">
        <f>IFERROR(__xludf.DUMMYFUNCTION("""COMPUTED_VALUE"""),"abertos")</f>
        <v>abertos</v>
      </c>
      <c r="Z368" s="18" t="str">
        <f>IFERROR(__xludf.DUMMYFUNCTION("""COMPUTED_VALUE"""),"governamentais")</f>
        <v>governamentais</v>
      </c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</row>
    <row r="369">
      <c r="A369" s="22"/>
      <c r="B369" s="23"/>
      <c r="C369" s="24"/>
      <c r="D369" s="24"/>
      <c r="E369" s="18"/>
      <c r="F369" s="18"/>
      <c r="G369" s="25">
        <f t="shared" ref="G369:I369" si="308">G368</f>
        <v>2017</v>
      </c>
      <c r="H369" s="20" t="str">
        <f t="shared" si="308"/>
        <v>udslpd2017</v>
      </c>
      <c r="I369" s="20" t="str">
        <f t="shared" si="308"/>
        <v>Uso de software livre para disseminação e análise de dados abertos governamentais</v>
      </c>
      <c r="J369" s="20" t="str">
        <f t="shared" si="2"/>
        <v>dados abertos</v>
      </c>
      <c r="K369" s="20"/>
      <c r="L369" s="20" t="str">
        <f t="shared" si="3"/>
        <v>dados abertos</v>
      </c>
      <c r="M369" s="18"/>
      <c r="N369" s="21" t="str">
        <f>IFERROR(__xludf.DUMMYFUNCTION("""COMPUTED_VALUE""")," dados abertos")</f>
        <v> dados abertos</v>
      </c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</row>
    <row r="370">
      <c r="A370" s="22"/>
      <c r="B370" s="23"/>
      <c r="C370" s="24"/>
      <c r="D370" s="24"/>
      <c r="E370" s="18"/>
      <c r="F370" s="18"/>
      <c r="G370" s="25">
        <f t="shared" ref="G370:I370" si="309">G369</f>
        <v>2017</v>
      </c>
      <c r="H370" s="20" t="str">
        <f t="shared" si="309"/>
        <v>udslpd2017</v>
      </c>
      <c r="I370" s="20" t="str">
        <f t="shared" si="309"/>
        <v>Uso de software livre para disseminação e análise de dados abertos governamentais</v>
      </c>
      <c r="J370" s="20" t="str">
        <f t="shared" si="2"/>
        <v>data warehouse</v>
      </c>
      <c r="K370" s="20"/>
      <c r="L370" s="20" t="str">
        <f t="shared" si="3"/>
        <v>data warehouse</v>
      </c>
      <c r="M370" s="18"/>
      <c r="N370" s="21" t="str">
        <f>IFERROR(__xludf.DUMMYFUNCTION("""COMPUTED_VALUE""")," data warehouse")</f>
        <v> data warehouse</v>
      </c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</row>
    <row r="371">
      <c r="A371" s="22"/>
      <c r="B371" s="23"/>
      <c r="C371" s="24"/>
      <c r="D371" s="24"/>
      <c r="E371" s="18"/>
      <c r="F371" s="18"/>
      <c r="G371" s="25">
        <f t="shared" ref="G371:I371" si="310">G370</f>
        <v>2017</v>
      </c>
      <c r="H371" s="20" t="str">
        <f t="shared" si="310"/>
        <v>udslpd2017</v>
      </c>
      <c r="I371" s="20" t="str">
        <f t="shared" si="310"/>
        <v>Uso de software livre para disseminação e análise de dados abertos governamentais</v>
      </c>
      <c r="J371" s="20" t="str">
        <f t="shared" si="2"/>
        <v/>
      </c>
      <c r="K371" s="20"/>
      <c r="L371" s="20" t="str">
        <f t="shared" si="3"/>
        <v/>
      </c>
      <c r="M371" s="18"/>
      <c r="N371" s="21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</row>
    <row r="372">
      <c r="A372" s="22"/>
      <c r="B372" s="23"/>
      <c r="C372" s="24"/>
      <c r="D372" s="24"/>
      <c r="E372" s="18"/>
      <c r="F372" s="18"/>
      <c r="G372" s="25">
        <f t="shared" ref="G372:I372" si="311">G371</f>
        <v>2017</v>
      </c>
      <c r="H372" s="20" t="str">
        <f t="shared" si="311"/>
        <v>udslpd2017</v>
      </c>
      <c r="I372" s="20" t="str">
        <f t="shared" si="311"/>
        <v>Uso de software livre para disseminação e análise de dados abertos governamentais</v>
      </c>
      <c r="J372" s="20" t="str">
        <f t="shared" si="2"/>
        <v/>
      </c>
      <c r="K372" s="20"/>
      <c r="L372" s="20" t="str">
        <f t="shared" si="3"/>
        <v/>
      </c>
      <c r="M372" s="18"/>
      <c r="N372" s="21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</row>
    <row r="373">
      <c r="A373" s="8"/>
      <c r="B373" s="23"/>
      <c r="C373" s="24"/>
      <c r="D373" s="24"/>
      <c r="E373" s="18"/>
      <c r="F373" s="18"/>
      <c r="G373" s="25">
        <f t="shared" ref="G373:I373" si="312">G372</f>
        <v>2017</v>
      </c>
      <c r="H373" s="20" t="str">
        <f t="shared" si="312"/>
        <v>udslpd2017</v>
      </c>
      <c r="I373" s="20" t="str">
        <f t="shared" si="312"/>
        <v>Uso de software livre para disseminação e análise de dados abertos governamentais</v>
      </c>
      <c r="J373" s="20" t="str">
        <f t="shared" si="2"/>
        <v/>
      </c>
      <c r="K373" s="20"/>
      <c r="L373" s="20" t="str">
        <f t="shared" si="3"/>
        <v/>
      </c>
      <c r="M373" s="18"/>
      <c r="N373" s="21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</row>
    <row r="374">
      <c r="A374" s="8" t="s">
        <v>54</v>
      </c>
      <c r="B374" s="9">
        <v>2017.0</v>
      </c>
      <c r="C374" s="10" t="s">
        <v>178</v>
      </c>
      <c r="D374" s="10" t="s">
        <v>179</v>
      </c>
      <c r="E374" s="18"/>
      <c r="F374" s="18"/>
      <c r="G374" s="12">
        <f>B374</f>
        <v>2017</v>
      </c>
      <c r="H374" s="13" t="str">
        <f>LOWER(left(O374,1)&amp;left(P374,1)&amp;left(Q374,1)&amp;left(R374,1)&amp;left(S374,1)&amp;left(T374,1))&amp;G374</f>
        <v>urpsad2017</v>
      </c>
      <c r="I374" s="20" t="str">
        <f>trim(C374)</f>
        <v>UMA REVISÃO PRELIMINAR SOBRE A DIFUSÃO DE DADOS CONECTADOS NO ÂMBITO EMPRESARIAL</v>
      </c>
      <c r="J374" s="20" t="str">
        <f t="shared" si="2"/>
        <v>Empresa</v>
      </c>
      <c r="K374" s="20"/>
      <c r="L374" s="20" t="str">
        <f t="shared" si="3"/>
        <v>empresa</v>
      </c>
      <c r="M374" s="18"/>
      <c r="N374" s="21" t="str">
        <f>IFERROR(__xludf.DUMMYFUNCTION("TRANSPOSE(split(D374,"";"",true,true))"),"Empresa")</f>
        <v>Empresa</v>
      </c>
      <c r="O374" s="6" t="str">
        <f>IFERROR(__xludf.DUMMYFUNCTION("split(C374,"" "")"),"UMA")</f>
        <v>UMA</v>
      </c>
      <c r="P374" s="18" t="str">
        <f>IFERROR(__xludf.DUMMYFUNCTION("""COMPUTED_VALUE"""),"REVISÃO")</f>
        <v>REVISÃO</v>
      </c>
      <c r="Q374" s="18" t="str">
        <f>IFERROR(__xludf.DUMMYFUNCTION("""COMPUTED_VALUE"""),"PRELIMINAR")</f>
        <v>PRELIMINAR</v>
      </c>
      <c r="R374" s="18" t="str">
        <f>IFERROR(__xludf.DUMMYFUNCTION("""COMPUTED_VALUE"""),"SOBRE")</f>
        <v>SOBRE</v>
      </c>
      <c r="S374" s="18" t="str">
        <f>IFERROR(__xludf.DUMMYFUNCTION("""COMPUTED_VALUE"""),"A")</f>
        <v>A</v>
      </c>
      <c r="T374" s="18" t="str">
        <f>IFERROR(__xludf.DUMMYFUNCTION("""COMPUTED_VALUE"""),"DIFUSÃO")</f>
        <v>DIFUSÃO</v>
      </c>
      <c r="U374" s="18" t="str">
        <f>IFERROR(__xludf.DUMMYFUNCTION("""COMPUTED_VALUE"""),"DE")</f>
        <v>DE</v>
      </c>
      <c r="V374" s="18" t="str">
        <f>IFERROR(__xludf.DUMMYFUNCTION("""COMPUTED_VALUE"""),"DADOS")</f>
        <v>DADOS</v>
      </c>
      <c r="W374" s="18" t="str">
        <f>IFERROR(__xludf.DUMMYFUNCTION("""COMPUTED_VALUE"""),"CONECTADOS")</f>
        <v>CONECTADOS</v>
      </c>
      <c r="X374" s="18" t="str">
        <f>IFERROR(__xludf.DUMMYFUNCTION("""COMPUTED_VALUE"""),"NO")</f>
        <v>NO</v>
      </c>
      <c r="Y374" s="18" t="str">
        <f>IFERROR(__xludf.DUMMYFUNCTION("""COMPUTED_VALUE"""),"ÂMBITO")</f>
        <v>ÂMBITO</v>
      </c>
      <c r="Z374" s="18" t="str">
        <f>IFERROR(__xludf.DUMMYFUNCTION("""COMPUTED_VALUE"""),"EMPRESARIAL")</f>
        <v>EMPRESARIAL</v>
      </c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</row>
    <row r="375">
      <c r="A375" s="22"/>
      <c r="B375" s="23"/>
      <c r="C375" s="24"/>
      <c r="D375" s="24"/>
      <c r="E375" s="18"/>
      <c r="F375" s="18"/>
      <c r="G375" s="25">
        <f t="shared" ref="G375:I375" si="313">G374</f>
        <v>2017</v>
      </c>
      <c r="H375" s="20" t="str">
        <f t="shared" si="313"/>
        <v>urpsad2017</v>
      </c>
      <c r="I375" s="20" t="str">
        <f t="shared" si="313"/>
        <v>UMA REVISÃO PRELIMINAR SOBRE A DIFUSÃO DE DADOS CONECTADOS NO ÂMBITO EMPRESARIAL</v>
      </c>
      <c r="J375" s="20" t="str">
        <f t="shared" si="2"/>
        <v>Dados Conectados</v>
      </c>
      <c r="K375" s="20"/>
      <c r="L375" s="20" t="str">
        <f t="shared" si="3"/>
        <v>dados conectados</v>
      </c>
      <c r="M375" s="18"/>
      <c r="N375" s="21" t="str">
        <f>IFERROR(__xludf.DUMMYFUNCTION("""COMPUTED_VALUE""")," Dados Conectados")</f>
        <v> Dados Conectados</v>
      </c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</row>
    <row r="376">
      <c r="A376" s="22"/>
      <c r="B376" s="23"/>
      <c r="C376" s="24"/>
      <c r="D376" s="24"/>
      <c r="E376" s="18"/>
      <c r="F376" s="18"/>
      <c r="G376" s="25">
        <f t="shared" ref="G376:I376" si="314">G375</f>
        <v>2017</v>
      </c>
      <c r="H376" s="20" t="str">
        <f t="shared" si="314"/>
        <v>urpsad2017</v>
      </c>
      <c r="I376" s="20" t="str">
        <f t="shared" si="314"/>
        <v>UMA REVISÃO PRELIMINAR SOBRE A DIFUSÃO DE DADOS CONECTADOS NO ÂMBITO EMPRESARIAL</v>
      </c>
      <c r="J376" s="20" t="str">
        <f t="shared" si="2"/>
        <v>Fatores de Impacto</v>
      </c>
      <c r="K376" s="20"/>
      <c r="L376" s="20" t="str">
        <f t="shared" si="3"/>
        <v>fatores de impacto</v>
      </c>
      <c r="M376" s="18"/>
      <c r="N376" s="21" t="str">
        <f>IFERROR(__xludf.DUMMYFUNCTION("""COMPUTED_VALUE""")," Fatores de Impacto")</f>
        <v> Fatores de Impacto</v>
      </c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</row>
    <row r="377">
      <c r="A377" s="22"/>
      <c r="B377" s="23"/>
      <c r="C377" s="24"/>
      <c r="D377" s="24"/>
      <c r="E377" s="18"/>
      <c r="F377" s="18"/>
      <c r="G377" s="25">
        <f t="shared" ref="G377:I377" si="315">G376</f>
        <v>2017</v>
      </c>
      <c r="H377" s="20" t="str">
        <f t="shared" si="315"/>
        <v>urpsad2017</v>
      </c>
      <c r="I377" s="20" t="str">
        <f t="shared" si="315"/>
        <v>UMA REVISÃO PRELIMINAR SOBRE A DIFUSÃO DE DADOS CONECTADOS NO ÂMBITO EMPRESARIAL</v>
      </c>
      <c r="J377" s="20" t="str">
        <f t="shared" si="2"/>
        <v/>
      </c>
      <c r="K377" s="20"/>
      <c r="L377" s="20" t="str">
        <f t="shared" si="3"/>
        <v/>
      </c>
      <c r="M377" s="18"/>
      <c r="N377" s="21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</row>
    <row r="378">
      <c r="A378" s="22"/>
      <c r="B378" s="23"/>
      <c r="C378" s="24"/>
      <c r="D378" s="24"/>
      <c r="E378" s="18"/>
      <c r="F378" s="18"/>
      <c r="G378" s="25">
        <f t="shared" ref="G378:I378" si="316">G377</f>
        <v>2017</v>
      </c>
      <c r="H378" s="20" t="str">
        <f t="shared" si="316"/>
        <v>urpsad2017</v>
      </c>
      <c r="I378" s="20" t="str">
        <f t="shared" si="316"/>
        <v>UMA REVISÃO PRELIMINAR SOBRE A DIFUSÃO DE DADOS CONECTADOS NO ÂMBITO EMPRESARIAL</v>
      </c>
      <c r="J378" s="20" t="str">
        <f t="shared" si="2"/>
        <v/>
      </c>
      <c r="K378" s="20"/>
      <c r="L378" s="20" t="str">
        <f t="shared" si="3"/>
        <v/>
      </c>
      <c r="M378" s="18"/>
      <c r="N378" s="21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</row>
    <row r="379">
      <c r="A379" s="8"/>
      <c r="B379" s="23"/>
      <c r="C379" s="24"/>
      <c r="D379" s="24"/>
      <c r="E379" s="18"/>
      <c r="F379" s="18"/>
      <c r="G379" s="25">
        <f t="shared" ref="G379:I379" si="317">G378</f>
        <v>2017</v>
      </c>
      <c r="H379" s="20" t="str">
        <f t="shared" si="317"/>
        <v>urpsad2017</v>
      </c>
      <c r="I379" s="20" t="str">
        <f t="shared" si="317"/>
        <v>UMA REVISÃO PRELIMINAR SOBRE A DIFUSÃO DE DADOS CONECTADOS NO ÂMBITO EMPRESARIAL</v>
      </c>
      <c r="J379" s="20" t="str">
        <f t="shared" si="2"/>
        <v/>
      </c>
      <c r="K379" s="20"/>
      <c r="L379" s="20" t="str">
        <f t="shared" si="3"/>
        <v/>
      </c>
      <c r="M379" s="18"/>
      <c r="N379" s="21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</row>
    <row r="380">
      <c r="A380" s="8" t="s">
        <v>54</v>
      </c>
      <c r="B380" s="9">
        <v>2017.0</v>
      </c>
      <c r="C380" s="10" t="s">
        <v>180</v>
      </c>
      <c r="D380" s="10" t="s">
        <v>181</v>
      </c>
      <c r="E380" s="18"/>
      <c r="F380" s="18"/>
      <c r="G380" s="12">
        <f>B380</f>
        <v>2017</v>
      </c>
      <c r="H380" s="13" t="str">
        <f>LOWER(left(O380,1)&amp;left(P380,1)&amp;left(Q380,1)&amp;left(R380,1)&amp;left(S380,1)&amp;left(T380,1))&amp;G380</f>
        <v>uedcdv2017</v>
      </c>
      <c r="I380" s="20" t="str">
        <f>trim(C380)</f>
        <v>UM ESTUDO DOS CICLOS DE VIDA DE DADOS ABERTOS CONECTADOS</v>
      </c>
      <c r="J380" s="20" t="str">
        <f t="shared" si="2"/>
        <v>Dados</v>
      </c>
      <c r="K380" s="20"/>
      <c r="L380" s="20" t="str">
        <f t="shared" si="3"/>
        <v>dados</v>
      </c>
      <c r="M380" s="18"/>
      <c r="N380" s="21" t="str">
        <f>IFERROR(__xludf.DUMMYFUNCTION("TRANSPOSE(split(D380,"";"",true,true))"),"Dados")</f>
        <v>Dados</v>
      </c>
      <c r="O380" s="6" t="str">
        <f>IFERROR(__xludf.DUMMYFUNCTION("split(C380,"" "")"),"UM")</f>
        <v>UM</v>
      </c>
      <c r="P380" s="18" t="str">
        <f>IFERROR(__xludf.DUMMYFUNCTION("""COMPUTED_VALUE"""),"ESTUDO")</f>
        <v>ESTUDO</v>
      </c>
      <c r="Q380" s="18" t="str">
        <f>IFERROR(__xludf.DUMMYFUNCTION("""COMPUTED_VALUE"""),"DOS")</f>
        <v>DOS</v>
      </c>
      <c r="R380" s="18" t="str">
        <f>IFERROR(__xludf.DUMMYFUNCTION("""COMPUTED_VALUE"""),"CICLOS")</f>
        <v>CICLOS</v>
      </c>
      <c r="S380" s="18" t="str">
        <f>IFERROR(__xludf.DUMMYFUNCTION("""COMPUTED_VALUE"""),"DE")</f>
        <v>DE</v>
      </c>
      <c r="T380" s="18" t="str">
        <f>IFERROR(__xludf.DUMMYFUNCTION("""COMPUTED_VALUE"""),"VIDA")</f>
        <v>VIDA</v>
      </c>
      <c r="U380" s="18" t="str">
        <f>IFERROR(__xludf.DUMMYFUNCTION("""COMPUTED_VALUE"""),"DE")</f>
        <v>DE</v>
      </c>
      <c r="V380" s="18" t="str">
        <f>IFERROR(__xludf.DUMMYFUNCTION("""COMPUTED_VALUE"""),"DADOS")</f>
        <v>DADOS</v>
      </c>
      <c r="W380" s="18" t="str">
        <f>IFERROR(__xludf.DUMMYFUNCTION("""COMPUTED_VALUE"""),"ABERTOS")</f>
        <v>ABERTOS</v>
      </c>
      <c r="X380" s="18" t="str">
        <f>IFERROR(__xludf.DUMMYFUNCTION("""COMPUTED_VALUE"""),"CONECTADOS")</f>
        <v>CONECTADOS</v>
      </c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</row>
    <row r="381">
      <c r="A381" s="22"/>
      <c r="B381" s="23"/>
      <c r="C381" s="24"/>
      <c r="D381" s="24"/>
      <c r="E381" s="18"/>
      <c r="F381" s="18"/>
      <c r="G381" s="25">
        <f t="shared" ref="G381:I381" si="318">G380</f>
        <v>2017</v>
      </c>
      <c r="H381" s="20" t="str">
        <f t="shared" si="318"/>
        <v>uedcdv2017</v>
      </c>
      <c r="I381" s="20" t="str">
        <f t="shared" si="318"/>
        <v>UM ESTUDO DOS CICLOS DE VIDA DE DADOS ABERTOS CONECTADOS</v>
      </c>
      <c r="J381" s="20" t="str">
        <f t="shared" si="2"/>
        <v>Ciclo de Vida</v>
      </c>
      <c r="K381" s="20"/>
      <c r="L381" s="20" t="str">
        <f t="shared" si="3"/>
        <v>ciclo de vida</v>
      </c>
      <c r="M381" s="18"/>
      <c r="N381" s="21" t="str">
        <f>IFERROR(__xludf.DUMMYFUNCTION("""COMPUTED_VALUE""")," Ciclo de Vida")</f>
        <v> Ciclo de Vida</v>
      </c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</row>
    <row r="382">
      <c r="A382" s="22"/>
      <c r="B382" s="23"/>
      <c r="C382" s="24"/>
      <c r="D382" s="24"/>
      <c r="E382" s="18"/>
      <c r="F382" s="18"/>
      <c r="G382" s="25">
        <f t="shared" ref="G382:I382" si="319">G381</f>
        <v>2017</v>
      </c>
      <c r="H382" s="20" t="str">
        <f t="shared" si="319"/>
        <v>uedcdv2017</v>
      </c>
      <c r="I382" s="20" t="str">
        <f t="shared" si="319"/>
        <v>UM ESTUDO DOS CICLOS DE VIDA DE DADOS ABERTOS CONECTADOS</v>
      </c>
      <c r="J382" s="20" t="str">
        <f t="shared" si="2"/>
        <v>Dados Conectados Abertos</v>
      </c>
      <c r="K382" s="20"/>
      <c r="L382" s="20" t="str">
        <f t="shared" si="3"/>
        <v>dados conectados abertos</v>
      </c>
      <c r="M382" s="18"/>
      <c r="N382" s="21" t="str">
        <f>IFERROR(__xludf.DUMMYFUNCTION("""COMPUTED_VALUE""")," Dados Conectados Abertos")</f>
        <v> Dados Conectados Abertos</v>
      </c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</row>
    <row r="383">
      <c r="A383" s="22"/>
      <c r="B383" s="23"/>
      <c r="C383" s="24"/>
      <c r="D383" s="24"/>
      <c r="E383" s="18"/>
      <c r="F383" s="18"/>
      <c r="G383" s="25">
        <f t="shared" ref="G383:I383" si="320">G382</f>
        <v>2017</v>
      </c>
      <c r="H383" s="20" t="str">
        <f t="shared" si="320"/>
        <v>uedcdv2017</v>
      </c>
      <c r="I383" s="20" t="str">
        <f t="shared" si="320"/>
        <v>UM ESTUDO DOS CICLOS DE VIDA DE DADOS ABERTOS CONECTADOS</v>
      </c>
      <c r="J383" s="20" t="str">
        <f t="shared" si="2"/>
        <v/>
      </c>
      <c r="K383" s="20"/>
      <c r="L383" s="20" t="str">
        <f t="shared" si="3"/>
        <v/>
      </c>
      <c r="M383" s="18"/>
      <c r="N383" s="21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</row>
    <row r="384">
      <c r="A384" s="22"/>
      <c r="B384" s="23"/>
      <c r="C384" s="24"/>
      <c r="D384" s="24"/>
      <c r="E384" s="18"/>
      <c r="F384" s="18"/>
      <c r="G384" s="25">
        <f t="shared" ref="G384:I384" si="321">G383</f>
        <v>2017</v>
      </c>
      <c r="H384" s="20" t="str">
        <f t="shared" si="321"/>
        <v>uedcdv2017</v>
      </c>
      <c r="I384" s="20" t="str">
        <f t="shared" si="321"/>
        <v>UM ESTUDO DOS CICLOS DE VIDA DE DADOS ABERTOS CONECTADOS</v>
      </c>
      <c r="J384" s="20" t="str">
        <f t="shared" si="2"/>
        <v/>
      </c>
      <c r="K384" s="20"/>
      <c r="L384" s="20" t="str">
        <f t="shared" si="3"/>
        <v/>
      </c>
      <c r="M384" s="18"/>
      <c r="N384" s="21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</row>
    <row r="385">
      <c r="A385" s="8"/>
      <c r="B385" s="23"/>
      <c r="C385" s="24"/>
      <c r="D385" s="24"/>
      <c r="E385" s="18"/>
      <c r="F385" s="18"/>
      <c r="G385" s="25">
        <f t="shared" ref="G385:I385" si="322">G384</f>
        <v>2017</v>
      </c>
      <c r="H385" s="20" t="str">
        <f t="shared" si="322"/>
        <v>uedcdv2017</v>
      </c>
      <c r="I385" s="20" t="str">
        <f t="shared" si="322"/>
        <v>UM ESTUDO DOS CICLOS DE VIDA DE DADOS ABERTOS CONECTADOS</v>
      </c>
      <c r="J385" s="20" t="str">
        <f t="shared" si="2"/>
        <v/>
      </c>
      <c r="K385" s="20"/>
      <c r="L385" s="20" t="str">
        <f t="shared" si="3"/>
        <v/>
      </c>
      <c r="M385" s="18"/>
      <c r="N385" s="21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</row>
    <row r="386">
      <c r="A386" s="8" t="s">
        <v>54</v>
      </c>
      <c r="B386" s="9">
        <v>2017.0</v>
      </c>
      <c r="C386" s="10" t="s">
        <v>182</v>
      </c>
      <c r="D386" s="10" t="s">
        <v>183</v>
      </c>
      <c r="E386" s="18"/>
      <c r="F386" s="18"/>
      <c r="G386" s="12">
        <f>B386</f>
        <v>2017</v>
      </c>
      <c r="H386" s="13" t="str">
        <f>LOWER(left(O386,1)&amp;left(P386,1)&amp;left(Q386,1)&amp;left(R386,1)&amp;left(S386,1)&amp;left(T386,1))&amp;G386</f>
        <v>ccdrpa2017</v>
      </c>
      <c r="I386" s="20" t="str">
        <f>trim(C386)</f>
        <v>CONSTRUÇÃO COLABORATIVA DE REPRESENTAÇÕES PARA A DISSEMINAÇÃO DE DADOS AGRÍCOLAS: Um estudo no Portal CoDAF</v>
      </c>
      <c r="J386" s="20" t="str">
        <f t="shared" si="2"/>
        <v>Fonte de dados</v>
      </c>
      <c r="K386" s="20"/>
      <c r="L386" s="20" t="str">
        <f t="shared" si="3"/>
        <v>fonte de dados</v>
      </c>
      <c r="M386" s="18"/>
      <c r="N386" s="21" t="str">
        <f>IFERROR(__xludf.DUMMYFUNCTION("TRANSPOSE(split(D386,"";"",true,true))"),"Fonte de dados")</f>
        <v>Fonte de dados</v>
      </c>
      <c r="O386" s="6" t="str">
        <f>IFERROR(__xludf.DUMMYFUNCTION("split(C386,"" "")"),"CONSTRUÇÃO")</f>
        <v>CONSTRUÇÃO</v>
      </c>
      <c r="P386" s="18" t="str">
        <f>IFERROR(__xludf.DUMMYFUNCTION("""COMPUTED_VALUE"""),"COLABORATIVA")</f>
        <v>COLABORATIVA</v>
      </c>
      <c r="Q386" s="18" t="str">
        <f>IFERROR(__xludf.DUMMYFUNCTION("""COMPUTED_VALUE"""),"DE")</f>
        <v>DE</v>
      </c>
      <c r="R386" s="18" t="str">
        <f>IFERROR(__xludf.DUMMYFUNCTION("""COMPUTED_VALUE"""),"REPRESENTAÇÕES")</f>
        <v>REPRESENTAÇÕES</v>
      </c>
      <c r="S386" s="18" t="str">
        <f>IFERROR(__xludf.DUMMYFUNCTION("""COMPUTED_VALUE"""),"PARA")</f>
        <v>PARA</v>
      </c>
      <c r="T386" s="18" t="str">
        <f>IFERROR(__xludf.DUMMYFUNCTION("""COMPUTED_VALUE"""),"A")</f>
        <v>A</v>
      </c>
      <c r="U386" s="18" t="str">
        <f>IFERROR(__xludf.DUMMYFUNCTION("""COMPUTED_VALUE"""),"DISSEMINAÇÃO")</f>
        <v>DISSEMINAÇÃO</v>
      </c>
      <c r="V386" s="18" t="str">
        <f>IFERROR(__xludf.DUMMYFUNCTION("""COMPUTED_VALUE"""),"DE")</f>
        <v>DE</v>
      </c>
      <c r="W386" s="18" t="str">
        <f>IFERROR(__xludf.DUMMYFUNCTION("""COMPUTED_VALUE"""),"DADOS")</f>
        <v>DADOS</v>
      </c>
      <c r="X386" s="18" t="str">
        <f>IFERROR(__xludf.DUMMYFUNCTION("""COMPUTED_VALUE"""),"AGRÍCOLAS:")</f>
        <v>AGRÍCOLAS:</v>
      </c>
      <c r="Y386" s="18" t="str">
        <f>IFERROR(__xludf.DUMMYFUNCTION("""COMPUTED_VALUE"""),"Um")</f>
        <v>Um</v>
      </c>
      <c r="Z386" s="18" t="str">
        <f>IFERROR(__xludf.DUMMYFUNCTION("""COMPUTED_VALUE"""),"estudo")</f>
        <v>estudo</v>
      </c>
      <c r="AA386" s="18" t="str">
        <f>IFERROR(__xludf.DUMMYFUNCTION("""COMPUTED_VALUE"""),"no")</f>
        <v>no</v>
      </c>
      <c r="AB386" s="18" t="str">
        <f>IFERROR(__xludf.DUMMYFUNCTION("""COMPUTED_VALUE"""),"Portal")</f>
        <v>Portal</v>
      </c>
      <c r="AC386" s="18" t="str">
        <f>IFERROR(__xludf.DUMMYFUNCTION("""COMPUTED_VALUE"""),"CoDAF")</f>
        <v>CoDAF</v>
      </c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</row>
    <row r="387">
      <c r="A387" s="22"/>
      <c r="B387" s="23"/>
      <c r="C387" s="24"/>
      <c r="D387" s="24"/>
      <c r="E387" s="18"/>
      <c r="F387" s="18"/>
      <c r="G387" s="25">
        <f t="shared" ref="G387:I387" si="323">G386</f>
        <v>2017</v>
      </c>
      <c r="H387" s="20" t="str">
        <f t="shared" si="323"/>
        <v>ccdrpa2017</v>
      </c>
      <c r="I387" s="20" t="str">
        <f t="shared" si="323"/>
        <v>CONSTRUÇÃO COLABORATIVA DE REPRESENTAÇÕES PARA A DISSEMINAÇÃO DE DADOS AGRÍCOLAS: Um estudo no Portal CoDAF</v>
      </c>
      <c r="J387" s="20" t="str">
        <f t="shared" si="2"/>
        <v>Acesso a dados</v>
      </c>
      <c r="K387" s="20"/>
      <c r="L387" s="20" t="str">
        <f t="shared" si="3"/>
        <v>acesso a dados</v>
      </c>
      <c r="M387" s="18"/>
      <c r="N387" s="21" t="str">
        <f>IFERROR(__xludf.DUMMYFUNCTION("""COMPUTED_VALUE""")," Acesso a dados")</f>
        <v> Acesso a dados</v>
      </c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</row>
    <row r="388">
      <c r="A388" s="22"/>
      <c r="B388" s="23"/>
      <c r="C388" s="24"/>
      <c r="D388" s="24"/>
      <c r="E388" s="18"/>
      <c r="F388" s="18"/>
      <c r="G388" s="25">
        <f t="shared" ref="G388:I388" si="324">G387</f>
        <v>2017</v>
      </c>
      <c r="H388" s="20" t="str">
        <f t="shared" si="324"/>
        <v>ccdrpa2017</v>
      </c>
      <c r="I388" s="20" t="str">
        <f t="shared" si="324"/>
        <v>CONSTRUÇÃO COLABORATIVA DE REPRESENTAÇÕES PARA A DISSEMINAÇÃO DE DADOS AGRÍCOLAS: Um estudo no Portal CoDAF</v>
      </c>
      <c r="J388" s="20" t="str">
        <f t="shared" si="2"/>
        <v>Ciclo de Vida dos Dados</v>
      </c>
      <c r="K388" s="20"/>
      <c r="L388" s="20" t="str">
        <f t="shared" si="3"/>
        <v>ciclo de vida dos dados</v>
      </c>
      <c r="M388" s="18"/>
      <c r="N388" s="21" t="str">
        <f>IFERROR(__xludf.DUMMYFUNCTION("""COMPUTED_VALUE""")," Ciclo de Vida dos Dados")</f>
        <v> Ciclo de Vida dos Dados</v>
      </c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</row>
    <row r="389">
      <c r="A389" s="22"/>
      <c r="B389" s="23"/>
      <c r="C389" s="24"/>
      <c r="D389" s="24"/>
      <c r="E389" s="18"/>
      <c r="F389" s="18"/>
      <c r="G389" s="25">
        <f t="shared" ref="G389:I389" si="325">G388</f>
        <v>2017</v>
      </c>
      <c r="H389" s="20" t="str">
        <f t="shared" si="325"/>
        <v>ccdrpa2017</v>
      </c>
      <c r="I389" s="20" t="str">
        <f t="shared" si="325"/>
        <v>CONSTRUÇÃO COLABORATIVA DE REPRESENTAÇÕES PARA A DISSEMINAÇÃO DE DADOS AGRÍCOLAS: Um estudo no Portal CoDAF</v>
      </c>
      <c r="J389" s="20" t="str">
        <f t="shared" si="2"/>
        <v>Portal CoDAF</v>
      </c>
      <c r="K389" s="20"/>
      <c r="L389" s="20" t="str">
        <f t="shared" si="3"/>
        <v>portal codaf</v>
      </c>
      <c r="M389" s="18"/>
      <c r="N389" s="21" t="str">
        <f>IFERROR(__xludf.DUMMYFUNCTION("""COMPUTED_VALUE""")," Portal CoDAF")</f>
        <v> Portal CoDAF</v>
      </c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</row>
    <row r="390">
      <c r="A390" s="22"/>
      <c r="B390" s="23"/>
      <c r="C390" s="24"/>
      <c r="D390" s="24"/>
      <c r="E390" s="18"/>
      <c r="F390" s="18"/>
      <c r="G390" s="25">
        <f t="shared" ref="G390:I390" si="326">G389</f>
        <v>2017</v>
      </c>
      <c r="H390" s="20" t="str">
        <f t="shared" si="326"/>
        <v>ccdrpa2017</v>
      </c>
      <c r="I390" s="20" t="str">
        <f t="shared" si="326"/>
        <v>CONSTRUÇÃO COLABORATIVA DE REPRESENTAÇÕES PARA A DISSEMINAÇÃO DE DADOS AGRÍCOLAS: Um estudo no Portal CoDAF</v>
      </c>
      <c r="J390" s="20" t="str">
        <f t="shared" si="2"/>
        <v>Dados agrícolas</v>
      </c>
      <c r="K390" s="20"/>
      <c r="L390" s="20" t="str">
        <f t="shared" si="3"/>
        <v>dados agrícolas</v>
      </c>
      <c r="M390" s="18"/>
      <c r="N390" s="21" t="str">
        <f>IFERROR(__xludf.DUMMYFUNCTION("""COMPUTED_VALUE""")," Dados agrícolas")</f>
        <v> Dados agrícolas</v>
      </c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</row>
    <row r="391">
      <c r="A391" s="8"/>
      <c r="B391" s="23"/>
      <c r="C391" s="24"/>
      <c r="D391" s="24"/>
      <c r="E391" s="18"/>
      <c r="F391" s="18"/>
      <c r="G391" s="25">
        <f t="shared" ref="G391:I391" si="327">G390</f>
        <v>2017</v>
      </c>
      <c r="H391" s="20" t="str">
        <f t="shared" si="327"/>
        <v>ccdrpa2017</v>
      </c>
      <c r="I391" s="20" t="str">
        <f t="shared" si="327"/>
        <v>CONSTRUÇÃO COLABORATIVA DE REPRESENTAÇÕES PARA A DISSEMINAÇÃO DE DADOS AGRÍCOLAS: Um estudo no Portal CoDAF</v>
      </c>
      <c r="J391" s="20" t="str">
        <f t="shared" si="2"/>
        <v/>
      </c>
      <c r="K391" s="20"/>
      <c r="L391" s="20" t="str">
        <f t="shared" si="3"/>
        <v/>
      </c>
      <c r="M391" s="18"/>
      <c r="N391" s="21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</row>
    <row r="392">
      <c r="A392" s="8" t="s">
        <v>54</v>
      </c>
      <c r="B392" s="9">
        <v>2017.0</v>
      </c>
      <c r="C392" s="10" t="s">
        <v>184</v>
      </c>
      <c r="D392" s="10" t="s">
        <v>185</v>
      </c>
      <c r="E392" s="18"/>
      <c r="F392" s="18"/>
      <c r="G392" s="12">
        <f>B392</f>
        <v>2017</v>
      </c>
      <c r="H392" s="13" t="str">
        <f>LOWER(left(O392,1)&amp;left(P392,1)&amp;left(Q392,1)&amp;left(R392,1)&amp;left(S392,1)&amp;left(T392,1))&amp;G392</f>
        <v>pdadmp2017</v>
      </c>
      <c r="I392" s="20" t="str">
        <f>trim(C392)</f>
        <v>PROPOSTA DE ARQUITETURA DE MICROSSERVIÇOS PARA UM SISTEMA DE CRM SOCIAL</v>
      </c>
      <c r="J392" s="20" t="str">
        <f t="shared" si="2"/>
        <v>CRM Social</v>
      </c>
      <c r="K392" s="20"/>
      <c r="L392" s="20" t="str">
        <f t="shared" si="3"/>
        <v>crm social</v>
      </c>
      <c r="M392" s="18"/>
      <c r="N392" s="21" t="str">
        <f>IFERROR(__xludf.DUMMYFUNCTION("TRANSPOSE(split(D392,"";"",true,true))"),"CRM Social")</f>
        <v>CRM Social</v>
      </c>
      <c r="O392" s="6" t="str">
        <f>IFERROR(__xludf.DUMMYFUNCTION("split(C392,"" "")"),"PROPOSTA")</f>
        <v>PROPOSTA</v>
      </c>
      <c r="P392" s="18" t="str">
        <f>IFERROR(__xludf.DUMMYFUNCTION("""COMPUTED_VALUE"""),"DE")</f>
        <v>DE</v>
      </c>
      <c r="Q392" s="18" t="str">
        <f>IFERROR(__xludf.DUMMYFUNCTION("""COMPUTED_VALUE"""),"ARQUITETURA")</f>
        <v>ARQUITETURA</v>
      </c>
      <c r="R392" s="18" t="str">
        <f>IFERROR(__xludf.DUMMYFUNCTION("""COMPUTED_VALUE"""),"DE")</f>
        <v>DE</v>
      </c>
      <c r="S392" s="18" t="str">
        <f>IFERROR(__xludf.DUMMYFUNCTION("""COMPUTED_VALUE"""),"MICROSSERVIÇOS")</f>
        <v>MICROSSERVIÇOS</v>
      </c>
      <c r="T392" s="18" t="str">
        <f>IFERROR(__xludf.DUMMYFUNCTION("""COMPUTED_VALUE"""),"PARA")</f>
        <v>PARA</v>
      </c>
      <c r="U392" s="18" t="str">
        <f>IFERROR(__xludf.DUMMYFUNCTION("""COMPUTED_VALUE"""),"UM")</f>
        <v>UM</v>
      </c>
      <c r="V392" s="18" t="str">
        <f>IFERROR(__xludf.DUMMYFUNCTION("""COMPUTED_VALUE"""),"SISTEMA")</f>
        <v>SISTEMA</v>
      </c>
      <c r="W392" s="18" t="str">
        <f>IFERROR(__xludf.DUMMYFUNCTION("""COMPUTED_VALUE"""),"DE")</f>
        <v>DE</v>
      </c>
      <c r="X392" s="18" t="str">
        <f>IFERROR(__xludf.DUMMYFUNCTION("""COMPUTED_VALUE"""),"CRM")</f>
        <v>CRM</v>
      </c>
      <c r="Y392" s="18" t="str">
        <f>IFERROR(__xludf.DUMMYFUNCTION("""COMPUTED_VALUE"""),"SOCIAL")</f>
        <v>SOCIAL</v>
      </c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</row>
    <row r="393">
      <c r="A393" s="22"/>
      <c r="B393" s="23"/>
      <c r="C393" s="24"/>
      <c r="D393" s="24"/>
      <c r="E393" s="18"/>
      <c r="F393" s="18"/>
      <c r="G393" s="25">
        <f t="shared" ref="G393:I393" si="328">G392</f>
        <v>2017</v>
      </c>
      <c r="H393" s="20" t="str">
        <f t="shared" si="328"/>
        <v>pdadmp2017</v>
      </c>
      <c r="I393" s="20" t="str">
        <f t="shared" si="328"/>
        <v>PROPOSTA DE ARQUITETURA DE MICROSSERVIÇOS PARA UM SISTEMA DE CRM SOCIAL</v>
      </c>
      <c r="J393" s="20" t="str">
        <f t="shared" si="2"/>
        <v>Web 2.0</v>
      </c>
      <c r="K393" s="20"/>
      <c r="L393" s="20" t="str">
        <f t="shared" si="3"/>
        <v>web 2.0</v>
      </c>
      <c r="M393" s="18"/>
      <c r="N393" s="21" t="str">
        <f>IFERROR(__xludf.DUMMYFUNCTION("""COMPUTED_VALUE""")," Web 2.0")</f>
        <v> Web 2.0</v>
      </c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</row>
    <row r="394">
      <c r="A394" s="22"/>
      <c r="B394" s="23"/>
      <c r="C394" s="24"/>
      <c r="D394" s="24"/>
      <c r="E394" s="18"/>
      <c r="F394" s="18"/>
      <c r="G394" s="25">
        <f t="shared" ref="G394:I394" si="329">G393</f>
        <v>2017</v>
      </c>
      <c r="H394" s="20" t="str">
        <f t="shared" si="329"/>
        <v>pdadmp2017</v>
      </c>
      <c r="I394" s="20" t="str">
        <f t="shared" si="329"/>
        <v>PROPOSTA DE ARQUITETURA DE MICROSSERVIÇOS PARA UM SISTEMA DE CRM SOCIAL</v>
      </c>
      <c r="J394" s="20" t="str">
        <f t="shared" si="2"/>
        <v>Inteligência Competitiva</v>
      </c>
      <c r="K394" s="20"/>
      <c r="L394" s="20" t="str">
        <f t="shared" si="3"/>
        <v>inteligência competitiva</v>
      </c>
      <c r="M394" s="18"/>
      <c r="N394" s="21" t="str">
        <f>IFERROR(__xludf.DUMMYFUNCTION("""COMPUTED_VALUE""")," Inteligência Competitiva")</f>
        <v> Inteligência Competitiva</v>
      </c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</row>
    <row r="395">
      <c r="A395" s="22"/>
      <c r="B395" s="23"/>
      <c r="C395" s="24"/>
      <c r="D395" s="24"/>
      <c r="E395" s="18"/>
      <c r="F395" s="18"/>
      <c r="G395" s="25">
        <f t="shared" ref="G395:I395" si="330">G394</f>
        <v>2017</v>
      </c>
      <c r="H395" s="20" t="str">
        <f t="shared" si="330"/>
        <v>pdadmp2017</v>
      </c>
      <c r="I395" s="20" t="str">
        <f t="shared" si="330"/>
        <v>PROPOSTA DE ARQUITETURA DE MICROSSERVIÇOS PARA UM SISTEMA DE CRM SOCIAL</v>
      </c>
      <c r="J395" s="20" t="str">
        <f t="shared" si="2"/>
        <v>Microsserviços</v>
      </c>
      <c r="K395" s="20"/>
      <c r="L395" s="20" t="str">
        <f t="shared" si="3"/>
        <v>microsserviços</v>
      </c>
      <c r="M395" s="18"/>
      <c r="N395" s="21" t="str">
        <f>IFERROR(__xludf.DUMMYFUNCTION("""COMPUTED_VALUE""")," Microsserviços ")</f>
        <v> Microsserviços </v>
      </c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</row>
    <row r="396">
      <c r="A396" s="22"/>
      <c r="B396" s="23"/>
      <c r="C396" s="24"/>
      <c r="D396" s="24"/>
      <c r="E396" s="18"/>
      <c r="F396" s="18"/>
      <c r="G396" s="25">
        <f t="shared" ref="G396:I396" si="331">G395</f>
        <v>2017</v>
      </c>
      <c r="H396" s="20" t="str">
        <f t="shared" si="331"/>
        <v>pdadmp2017</v>
      </c>
      <c r="I396" s="20" t="str">
        <f t="shared" si="331"/>
        <v>PROPOSTA DE ARQUITETURA DE MICROSSERVIÇOS PARA UM SISTEMA DE CRM SOCIAL</v>
      </c>
      <c r="J396" s="20" t="str">
        <f t="shared" si="2"/>
        <v/>
      </c>
      <c r="K396" s="20"/>
      <c r="L396" s="20" t="str">
        <f t="shared" si="3"/>
        <v/>
      </c>
      <c r="M396" s="18"/>
      <c r="N396" s="21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</row>
    <row r="397">
      <c r="A397" s="8"/>
      <c r="B397" s="23"/>
      <c r="C397" s="24"/>
      <c r="D397" s="24"/>
      <c r="E397" s="18"/>
      <c r="F397" s="18"/>
      <c r="G397" s="25">
        <f t="shared" ref="G397:I397" si="332">G396</f>
        <v>2017</v>
      </c>
      <c r="H397" s="20" t="str">
        <f t="shared" si="332"/>
        <v>pdadmp2017</v>
      </c>
      <c r="I397" s="20" t="str">
        <f t="shared" si="332"/>
        <v>PROPOSTA DE ARQUITETURA DE MICROSSERVIÇOS PARA UM SISTEMA DE CRM SOCIAL</v>
      </c>
      <c r="J397" s="20" t="str">
        <f t="shared" si="2"/>
        <v/>
      </c>
      <c r="K397" s="20"/>
      <c r="L397" s="20" t="str">
        <f t="shared" si="3"/>
        <v/>
      </c>
      <c r="M397" s="18"/>
      <c r="N397" s="21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</row>
    <row r="398">
      <c r="A398" s="8" t="s">
        <v>54</v>
      </c>
      <c r="B398" s="9">
        <v>2017.0</v>
      </c>
      <c r="C398" s="10" t="s">
        <v>186</v>
      </c>
      <c r="D398" s="10" t="s">
        <v>187</v>
      </c>
      <c r="E398" s="18"/>
      <c r="F398" s="18"/>
      <c r="G398" s="12">
        <f>B398</f>
        <v>2017</v>
      </c>
      <c r="H398" s="13" t="str">
        <f>LOWER(left(O398,1)&amp;left(P398,1)&amp;left(Q398,1)&amp;left(R398,1)&amp;left(S398,1)&amp;left(T398,1))&amp;G398</f>
        <v>mdadbd2017</v>
      </c>
      <c r="I398" s="20" t="str">
        <f>trim(C398)</f>
        <v>MODELO DE ATUALIZAÇÃO DE BASES DE CONHECIMENTO: um estudo de caso ONTO-AmazonTimber</v>
      </c>
      <c r="J398" s="20" t="str">
        <f t="shared" si="2"/>
        <v>Gestão do Conhecimento</v>
      </c>
      <c r="K398" s="20"/>
      <c r="L398" s="20" t="str">
        <f t="shared" si="3"/>
        <v>gestão do conhecimento</v>
      </c>
      <c r="M398" s="18"/>
      <c r="N398" s="21" t="str">
        <f>IFERROR(__xludf.DUMMYFUNCTION("TRANSPOSE(split(D398,"";"",true,true))"),"Gestão do Conhecimento")</f>
        <v>Gestão do Conhecimento</v>
      </c>
      <c r="O398" s="6" t="str">
        <f>IFERROR(__xludf.DUMMYFUNCTION("split(C398,"" "")"),"MODELO")</f>
        <v>MODELO</v>
      </c>
      <c r="P398" s="18" t="str">
        <f>IFERROR(__xludf.DUMMYFUNCTION("""COMPUTED_VALUE"""),"DE")</f>
        <v>DE</v>
      </c>
      <c r="Q398" s="18" t="str">
        <f>IFERROR(__xludf.DUMMYFUNCTION("""COMPUTED_VALUE"""),"ATUALIZAÇÃO")</f>
        <v>ATUALIZAÇÃO</v>
      </c>
      <c r="R398" s="18" t="str">
        <f>IFERROR(__xludf.DUMMYFUNCTION("""COMPUTED_VALUE"""),"DE")</f>
        <v>DE</v>
      </c>
      <c r="S398" s="18" t="str">
        <f>IFERROR(__xludf.DUMMYFUNCTION("""COMPUTED_VALUE"""),"BASES")</f>
        <v>BASES</v>
      </c>
      <c r="T398" s="18" t="str">
        <f>IFERROR(__xludf.DUMMYFUNCTION("""COMPUTED_VALUE"""),"DE")</f>
        <v>DE</v>
      </c>
      <c r="U398" s="18" t="str">
        <f>IFERROR(__xludf.DUMMYFUNCTION("""COMPUTED_VALUE"""),"CONHECIMENTO:")</f>
        <v>CONHECIMENTO:</v>
      </c>
      <c r="V398" s="18" t="str">
        <f>IFERROR(__xludf.DUMMYFUNCTION("""COMPUTED_VALUE"""),"um")</f>
        <v>um</v>
      </c>
      <c r="W398" s="18" t="str">
        <f>IFERROR(__xludf.DUMMYFUNCTION("""COMPUTED_VALUE"""),"estudo")</f>
        <v>estudo</v>
      </c>
      <c r="X398" s="18" t="str">
        <f>IFERROR(__xludf.DUMMYFUNCTION("""COMPUTED_VALUE"""),"de")</f>
        <v>de</v>
      </c>
      <c r="Y398" s="18" t="str">
        <f>IFERROR(__xludf.DUMMYFUNCTION("""COMPUTED_VALUE"""),"caso")</f>
        <v>caso</v>
      </c>
      <c r="Z398" s="18" t="str">
        <f>IFERROR(__xludf.DUMMYFUNCTION("""COMPUTED_VALUE"""),"ONTO-AmazonTimber")</f>
        <v>ONTO-AmazonTimber</v>
      </c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</row>
    <row r="399">
      <c r="A399" s="22"/>
      <c r="B399" s="23"/>
      <c r="C399" s="24"/>
      <c r="D399" s="24"/>
      <c r="E399" s="18"/>
      <c r="F399" s="18"/>
      <c r="G399" s="25">
        <f t="shared" ref="G399:I399" si="333">G398</f>
        <v>2017</v>
      </c>
      <c r="H399" s="20" t="str">
        <f t="shared" si="333"/>
        <v>mdadbd2017</v>
      </c>
      <c r="I399" s="20" t="str">
        <f t="shared" si="333"/>
        <v>MODELO DE ATUALIZAÇÃO DE BASES DE CONHECIMENTO: um estudo de caso ONTO-AmazonTimber</v>
      </c>
      <c r="J399" s="20" t="str">
        <f t="shared" si="2"/>
        <v>Ontologia</v>
      </c>
      <c r="K399" s="20"/>
      <c r="L399" s="20" t="str">
        <f t="shared" si="3"/>
        <v>ontologia</v>
      </c>
      <c r="M399" s="18"/>
      <c r="N399" s="21" t="str">
        <f>IFERROR(__xludf.DUMMYFUNCTION("""COMPUTED_VALUE""")," Ontologia")</f>
        <v> Ontologia</v>
      </c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</row>
    <row r="400">
      <c r="A400" s="22"/>
      <c r="B400" s="23"/>
      <c r="C400" s="24"/>
      <c r="D400" s="24"/>
      <c r="E400" s="18"/>
      <c r="F400" s="18"/>
      <c r="G400" s="25">
        <f t="shared" ref="G400:I400" si="334">G399</f>
        <v>2017</v>
      </c>
      <c r="H400" s="20" t="str">
        <f t="shared" si="334"/>
        <v>mdadbd2017</v>
      </c>
      <c r="I400" s="20" t="str">
        <f t="shared" si="334"/>
        <v>MODELO DE ATUALIZAÇÃO DE BASES DE CONHECIMENTO: um estudo de caso ONTO-AmazonTimber</v>
      </c>
      <c r="J400" s="20" t="str">
        <f t="shared" si="2"/>
        <v>Atualização de conhecimento</v>
      </c>
      <c r="K400" s="20"/>
      <c r="L400" s="20" t="str">
        <f t="shared" si="3"/>
        <v>atualização de conhecimento</v>
      </c>
      <c r="M400" s="18"/>
      <c r="N400" s="21" t="str">
        <f>IFERROR(__xludf.DUMMYFUNCTION("""COMPUTED_VALUE""")," Atualização de conhecimento")</f>
        <v> Atualização de conhecimento</v>
      </c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</row>
    <row r="401">
      <c r="A401" s="22"/>
      <c r="B401" s="23"/>
      <c r="C401" s="24"/>
      <c r="D401" s="24"/>
      <c r="E401" s="18"/>
      <c r="F401" s="18"/>
      <c r="G401" s="25">
        <f t="shared" ref="G401:I401" si="335">G400</f>
        <v>2017</v>
      </c>
      <c r="H401" s="20" t="str">
        <f t="shared" si="335"/>
        <v>mdadbd2017</v>
      </c>
      <c r="I401" s="20" t="str">
        <f t="shared" si="335"/>
        <v>MODELO DE ATUALIZAÇÃO DE BASES DE CONHECIMENTO: um estudo de caso ONTO-AmazonTimber</v>
      </c>
      <c r="J401" s="20" t="str">
        <f t="shared" si="2"/>
        <v>ONTO-AmazonTimber</v>
      </c>
      <c r="K401" s="20"/>
      <c r="L401" s="20" t="str">
        <f t="shared" si="3"/>
        <v>onto-amazontimber</v>
      </c>
      <c r="M401" s="18"/>
      <c r="N401" s="21" t="str">
        <f>IFERROR(__xludf.DUMMYFUNCTION("""COMPUTED_VALUE""")," ONTO-AmazonTimber")</f>
        <v> ONTO-AmazonTimber</v>
      </c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</row>
    <row r="402">
      <c r="A402" s="22"/>
      <c r="B402" s="23"/>
      <c r="C402" s="24"/>
      <c r="D402" s="24"/>
      <c r="E402" s="18"/>
      <c r="F402" s="18"/>
      <c r="G402" s="25">
        <f t="shared" ref="G402:I402" si="336">G401</f>
        <v>2017</v>
      </c>
      <c r="H402" s="20" t="str">
        <f t="shared" si="336"/>
        <v>mdadbd2017</v>
      </c>
      <c r="I402" s="20" t="str">
        <f t="shared" si="336"/>
        <v>MODELO DE ATUALIZAÇÃO DE BASES DE CONHECIMENTO: um estudo de caso ONTO-AmazonTimber</v>
      </c>
      <c r="J402" s="20" t="str">
        <f t="shared" si="2"/>
        <v/>
      </c>
      <c r="K402" s="20"/>
      <c r="L402" s="20" t="str">
        <f t="shared" si="3"/>
        <v/>
      </c>
      <c r="M402" s="18"/>
      <c r="N402" s="21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</row>
    <row r="403">
      <c r="A403" s="8"/>
      <c r="B403" s="23"/>
      <c r="C403" s="24"/>
      <c r="D403" s="24"/>
      <c r="E403" s="18"/>
      <c r="F403" s="18"/>
      <c r="G403" s="25">
        <f t="shared" ref="G403:I403" si="337">G402</f>
        <v>2017</v>
      </c>
      <c r="H403" s="20" t="str">
        <f t="shared" si="337"/>
        <v>mdadbd2017</v>
      </c>
      <c r="I403" s="20" t="str">
        <f t="shared" si="337"/>
        <v>MODELO DE ATUALIZAÇÃO DE BASES DE CONHECIMENTO: um estudo de caso ONTO-AmazonTimber</v>
      </c>
      <c r="J403" s="20" t="str">
        <f t="shared" si="2"/>
        <v/>
      </c>
      <c r="K403" s="20"/>
      <c r="L403" s="20" t="str">
        <f t="shared" si="3"/>
        <v/>
      </c>
      <c r="M403" s="18"/>
      <c r="N403" s="21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</row>
    <row r="404">
      <c r="A404" s="8" t="s">
        <v>54</v>
      </c>
      <c r="B404" s="9">
        <v>2017.0</v>
      </c>
      <c r="C404" s="10" t="s">
        <v>188</v>
      </c>
      <c r="D404" s="10" t="s">
        <v>189</v>
      </c>
      <c r="E404" s="18"/>
      <c r="F404" s="18"/>
      <c r="G404" s="12">
        <f>B404</f>
        <v>2017</v>
      </c>
      <c r="H404" s="13" t="str">
        <f>LOWER(left(O404,1)&amp;left(P404,1)&amp;left(Q404,1)&amp;left(R404,1)&amp;left(S404,1)&amp;left(T404,1))&amp;G404</f>
        <v>ddocdq2017</v>
      </c>
      <c r="I404" s="20" t="str">
        <f>trim(C404)</f>
        <v>Desenvolvimento de Ontologia Ciente de Qualidade de Informações para a Melhoria de Consciência Situacional no Domínio de Gerenciamento de Emergências</v>
      </c>
      <c r="J404" s="20" t="str">
        <f t="shared" si="2"/>
        <v>Consciência Situacional</v>
      </c>
      <c r="K404" s="20"/>
      <c r="L404" s="20" t="str">
        <f t="shared" si="3"/>
        <v>consciência situacional</v>
      </c>
      <c r="M404" s="18"/>
      <c r="N404" s="21" t="str">
        <f>IFERROR(__xludf.DUMMYFUNCTION("TRANSPOSE(split(D404,"";"",true,true))"),"Consciência Situacional")</f>
        <v>Consciência Situacional</v>
      </c>
      <c r="O404" s="6" t="str">
        <f>IFERROR(__xludf.DUMMYFUNCTION("split(C404,"" "")"),"Desenvolvimento")</f>
        <v>Desenvolvimento</v>
      </c>
      <c r="P404" s="18" t="str">
        <f>IFERROR(__xludf.DUMMYFUNCTION("""COMPUTED_VALUE"""),"de")</f>
        <v>de</v>
      </c>
      <c r="Q404" s="18" t="str">
        <f>IFERROR(__xludf.DUMMYFUNCTION("""COMPUTED_VALUE"""),"Ontologia")</f>
        <v>Ontologia</v>
      </c>
      <c r="R404" s="18" t="str">
        <f>IFERROR(__xludf.DUMMYFUNCTION("""COMPUTED_VALUE"""),"Ciente")</f>
        <v>Ciente</v>
      </c>
      <c r="S404" s="18" t="str">
        <f>IFERROR(__xludf.DUMMYFUNCTION("""COMPUTED_VALUE"""),"de")</f>
        <v>de</v>
      </c>
      <c r="T404" s="18" t="str">
        <f>IFERROR(__xludf.DUMMYFUNCTION("""COMPUTED_VALUE"""),"Qualidade")</f>
        <v>Qualidade</v>
      </c>
      <c r="U404" s="18" t="str">
        <f>IFERROR(__xludf.DUMMYFUNCTION("""COMPUTED_VALUE"""),"de")</f>
        <v>de</v>
      </c>
      <c r="V404" s="18" t="str">
        <f>IFERROR(__xludf.DUMMYFUNCTION("""COMPUTED_VALUE"""),"Informações")</f>
        <v>Informações</v>
      </c>
      <c r="W404" s="18" t="str">
        <f>IFERROR(__xludf.DUMMYFUNCTION("""COMPUTED_VALUE"""),"para")</f>
        <v>para</v>
      </c>
      <c r="X404" s="18" t="str">
        <f>IFERROR(__xludf.DUMMYFUNCTION("""COMPUTED_VALUE"""),"a")</f>
        <v>a</v>
      </c>
      <c r="Y404" s="18" t="str">
        <f>IFERROR(__xludf.DUMMYFUNCTION("""COMPUTED_VALUE"""),"Melhoria")</f>
        <v>Melhoria</v>
      </c>
      <c r="Z404" s="18" t="str">
        <f>IFERROR(__xludf.DUMMYFUNCTION("""COMPUTED_VALUE"""),"de")</f>
        <v>de</v>
      </c>
      <c r="AA404" s="18" t="str">
        <f>IFERROR(__xludf.DUMMYFUNCTION("""COMPUTED_VALUE"""),"Consciência")</f>
        <v>Consciência</v>
      </c>
      <c r="AB404" s="18" t="str">
        <f>IFERROR(__xludf.DUMMYFUNCTION("""COMPUTED_VALUE"""),"Situacional")</f>
        <v>Situacional</v>
      </c>
      <c r="AC404" s="18" t="str">
        <f>IFERROR(__xludf.DUMMYFUNCTION("""COMPUTED_VALUE"""),"no")</f>
        <v>no</v>
      </c>
      <c r="AD404" s="18" t="str">
        <f>IFERROR(__xludf.DUMMYFUNCTION("""COMPUTED_VALUE"""),"Domínio")</f>
        <v>Domínio</v>
      </c>
      <c r="AE404" s="18" t="str">
        <f>IFERROR(__xludf.DUMMYFUNCTION("""COMPUTED_VALUE"""),"de")</f>
        <v>de</v>
      </c>
      <c r="AF404" s="18" t="str">
        <f>IFERROR(__xludf.DUMMYFUNCTION("""COMPUTED_VALUE"""),"Gerenciamento")</f>
        <v>Gerenciamento</v>
      </c>
      <c r="AG404" s="18" t="str">
        <f>IFERROR(__xludf.DUMMYFUNCTION("""COMPUTED_VALUE"""),"de")</f>
        <v>de</v>
      </c>
      <c r="AH404" s="18" t="str">
        <f>IFERROR(__xludf.DUMMYFUNCTION("""COMPUTED_VALUE"""),"Emergências")</f>
        <v>Emergências</v>
      </c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</row>
    <row r="405">
      <c r="A405" s="22"/>
      <c r="B405" s="23"/>
      <c r="C405" s="24"/>
      <c r="D405" s="24"/>
      <c r="E405" s="18"/>
      <c r="F405" s="18"/>
      <c r="G405" s="25">
        <f t="shared" ref="G405:I405" si="338">G404</f>
        <v>2017</v>
      </c>
      <c r="H405" s="20" t="str">
        <f t="shared" si="338"/>
        <v>ddocdq2017</v>
      </c>
      <c r="I405" s="20" t="str">
        <f t="shared" si="338"/>
        <v>Desenvolvimento de Ontologia Ciente de Qualidade de Informações para a Melhoria de Consciência Situacional no Domínio de Gerenciamento de Emergências</v>
      </c>
      <c r="J405" s="20" t="str">
        <f t="shared" si="2"/>
        <v>Ontologia</v>
      </c>
      <c r="K405" s="20"/>
      <c r="L405" s="20" t="str">
        <f t="shared" si="3"/>
        <v>ontologia</v>
      </c>
      <c r="M405" s="18"/>
      <c r="N405" s="21" t="str">
        <f>IFERROR(__xludf.DUMMYFUNCTION("""COMPUTED_VALUE""")," Ontologia")</f>
        <v> Ontologia</v>
      </c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</row>
    <row r="406">
      <c r="A406" s="22"/>
      <c r="B406" s="23"/>
      <c r="C406" s="24"/>
      <c r="D406" s="24"/>
      <c r="E406" s="18"/>
      <c r="F406" s="18"/>
      <c r="G406" s="25">
        <f t="shared" ref="G406:I406" si="339">G405</f>
        <v>2017</v>
      </c>
      <c r="H406" s="20" t="str">
        <f t="shared" si="339"/>
        <v>ddocdq2017</v>
      </c>
      <c r="I406" s="20" t="str">
        <f t="shared" si="339"/>
        <v>Desenvolvimento de Ontologia Ciente de Qualidade de Informações para a Melhoria de Consciência Situacional no Domínio de Gerenciamento de Emergências</v>
      </c>
      <c r="J406" s="20" t="str">
        <f t="shared" si="2"/>
        <v>Gerenciamento de Emergência</v>
      </c>
      <c r="K406" s="20"/>
      <c r="L406" s="20" t="str">
        <f t="shared" si="3"/>
        <v>gerenciamento de emergência</v>
      </c>
      <c r="M406" s="18"/>
      <c r="N406" s="21" t="str">
        <f>IFERROR(__xludf.DUMMYFUNCTION("""COMPUTED_VALUE""")," Gerenciamento de Emergência")</f>
        <v> Gerenciamento de Emergência</v>
      </c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</row>
    <row r="407">
      <c r="A407" s="22"/>
      <c r="B407" s="23"/>
      <c r="C407" s="24"/>
      <c r="D407" s="24"/>
      <c r="E407" s="18"/>
      <c r="F407" s="18"/>
      <c r="G407" s="25">
        <f t="shared" ref="G407:I407" si="340">G406</f>
        <v>2017</v>
      </c>
      <c r="H407" s="20" t="str">
        <f t="shared" si="340"/>
        <v>ddocdq2017</v>
      </c>
      <c r="I407" s="20" t="str">
        <f t="shared" si="340"/>
        <v>Desenvolvimento de Ontologia Ciente de Qualidade de Informações para a Melhoria de Consciência Situacional no Domínio de Gerenciamento de Emergências</v>
      </c>
      <c r="J407" s="20" t="str">
        <f t="shared" si="2"/>
        <v>Qualidade de dados</v>
      </c>
      <c r="K407" s="20"/>
      <c r="L407" s="20" t="str">
        <f t="shared" si="3"/>
        <v>qualidade de dados</v>
      </c>
      <c r="M407" s="18"/>
      <c r="N407" s="21" t="str">
        <f>IFERROR(__xludf.DUMMYFUNCTION("""COMPUTED_VALUE""")," Qualidade de dados")</f>
        <v> Qualidade de dados</v>
      </c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</row>
    <row r="408">
      <c r="A408" s="22"/>
      <c r="B408" s="23"/>
      <c r="C408" s="24"/>
      <c r="D408" s="24"/>
      <c r="E408" s="18"/>
      <c r="F408" s="18"/>
      <c r="G408" s="25">
        <f t="shared" ref="G408:I408" si="341">G407</f>
        <v>2017</v>
      </c>
      <c r="H408" s="20" t="str">
        <f t="shared" si="341"/>
        <v>ddocdq2017</v>
      </c>
      <c r="I408" s="20" t="str">
        <f t="shared" si="341"/>
        <v>Desenvolvimento de Ontologia Ciente de Qualidade de Informações para a Melhoria de Consciência Situacional no Domínio de Gerenciamento de Emergências</v>
      </c>
      <c r="J408" s="20" t="str">
        <f t="shared" si="2"/>
        <v/>
      </c>
      <c r="K408" s="20"/>
      <c r="L408" s="20" t="str">
        <f t="shared" si="3"/>
        <v/>
      </c>
      <c r="M408" s="18"/>
      <c r="N408" s="21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</row>
    <row r="409">
      <c r="A409" s="8"/>
      <c r="B409" s="23"/>
      <c r="C409" s="24"/>
      <c r="D409" s="24"/>
      <c r="E409" s="18"/>
      <c r="F409" s="18"/>
      <c r="G409" s="25">
        <f t="shared" ref="G409:I409" si="342">G408</f>
        <v>2017</v>
      </c>
      <c r="H409" s="20" t="str">
        <f t="shared" si="342"/>
        <v>ddocdq2017</v>
      </c>
      <c r="I409" s="20" t="str">
        <f t="shared" si="342"/>
        <v>Desenvolvimento de Ontologia Ciente de Qualidade de Informações para a Melhoria de Consciência Situacional no Domínio de Gerenciamento de Emergências</v>
      </c>
      <c r="J409" s="20" t="str">
        <f t="shared" si="2"/>
        <v/>
      </c>
      <c r="K409" s="20"/>
      <c r="L409" s="20" t="str">
        <f t="shared" si="3"/>
        <v/>
      </c>
      <c r="M409" s="18"/>
      <c r="N409" s="21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</row>
    <row r="410">
      <c r="A410" s="8" t="s">
        <v>54</v>
      </c>
      <c r="B410" s="9">
        <v>2017.0</v>
      </c>
      <c r="C410" s="10" t="s">
        <v>190</v>
      </c>
      <c r="D410" s="10" t="s">
        <v>191</v>
      </c>
      <c r="E410" s="18"/>
      <c r="F410" s="18"/>
      <c r="G410" s="12">
        <f>B410</f>
        <v>2017</v>
      </c>
      <c r="H410" s="13" t="str">
        <f>LOWER(left(O410,1)&amp;left(P410,1)&amp;left(Q410,1)&amp;left(R410,1)&amp;left(S410,1)&amp;left(T410,1))&amp;G410</f>
        <v>aqdecu2017</v>
      </c>
      <c r="I410" s="20" t="str">
        <f>trim(C410)</f>
        <v>ANÁLISE QUANTITATIVA DE EVENTOS CRIMINAIS UTILIZANDO ABORDAGEM SEMÂNTICA</v>
      </c>
      <c r="J410" s="20" t="str">
        <f t="shared" si="2"/>
        <v>Consciência Situacional</v>
      </c>
      <c r="K410" s="20"/>
      <c r="L410" s="20" t="str">
        <f t="shared" si="3"/>
        <v>consciência situacional</v>
      </c>
      <c r="M410" s="18"/>
      <c r="N410" s="21" t="str">
        <f>IFERROR(__xludf.DUMMYFUNCTION("TRANSPOSE(split(D410,"";"",true,true))"),"Consciência Situacional")</f>
        <v>Consciência Situacional</v>
      </c>
      <c r="O410" s="6" t="str">
        <f>IFERROR(__xludf.DUMMYFUNCTION("split(C410,"" "")"),"ANÁLISE")</f>
        <v>ANÁLISE</v>
      </c>
      <c r="P410" s="18" t="str">
        <f>IFERROR(__xludf.DUMMYFUNCTION("""COMPUTED_VALUE"""),"QUANTITATIVA")</f>
        <v>QUANTITATIVA</v>
      </c>
      <c r="Q410" s="18" t="str">
        <f>IFERROR(__xludf.DUMMYFUNCTION("""COMPUTED_VALUE"""),"DE")</f>
        <v>DE</v>
      </c>
      <c r="R410" s="18" t="str">
        <f>IFERROR(__xludf.DUMMYFUNCTION("""COMPUTED_VALUE"""),"EVENTOS")</f>
        <v>EVENTOS</v>
      </c>
      <c r="S410" s="18" t="str">
        <f>IFERROR(__xludf.DUMMYFUNCTION("""COMPUTED_VALUE"""),"CRIMINAIS")</f>
        <v>CRIMINAIS</v>
      </c>
      <c r="T410" s="18" t="str">
        <f>IFERROR(__xludf.DUMMYFUNCTION("""COMPUTED_VALUE"""),"UTILIZANDO")</f>
        <v>UTILIZANDO</v>
      </c>
      <c r="U410" s="18" t="str">
        <f>IFERROR(__xludf.DUMMYFUNCTION("""COMPUTED_VALUE"""),"ABORDAGEM")</f>
        <v>ABORDAGEM</v>
      </c>
      <c r="V410" s="18" t="str">
        <f>IFERROR(__xludf.DUMMYFUNCTION("""COMPUTED_VALUE"""),"SEMÂNTICA
")</f>
        <v>SEMÂNTICA
</v>
      </c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</row>
    <row r="411">
      <c r="A411" s="22"/>
      <c r="B411" s="23"/>
      <c r="C411" s="24"/>
      <c r="D411" s="24"/>
      <c r="E411" s="18"/>
      <c r="F411" s="18"/>
      <c r="G411" s="25">
        <f t="shared" ref="G411:I411" si="343">G410</f>
        <v>2017</v>
      </c>
      <c r="H411" s="20" t="str">
        <f t="shared" si="343"/>
        <v>aqdecu2017</v>
      </c>
      <c r="I411" s="20" t="str">
        <f t="shared" si="343"/>
        <v>ANÁLISE QUANTITATIVA DE EVENTOS CRIMINAIS UTILIZANDO ABORDAGEM SEMÂNTICA</v>
      </c>
      <c r="J411" s="20" t="str">
        <f t="shared" si="2"/>
        <v>Ontologia</v>
      </c>
      <c r="K411" s="20"/>
      <c r="L411" s="20" t="str">
        <f t="shared" si="3"/>
        <v>ontologia</v>
      </c>
      <c r="M411" s="18"/>
      <c r="N411" s="21" t="str">
        <f>IFERROR(__xludf.DUMMYFUNCTION("""COMPUTED_VALUE""")," Ontologia")</f>
        <v> Ontologia</v>
      </c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</row>
    <row r="412">
      <c r="A412" s="22"/>
      <c r="B412" s="23"/>
      <c r="C412" s="24"/>
      <c r="D412" s="24"/>
      <c r="E412" s="18"/>
      <c r="F412" s="18"/>
      <c r="G412" s="25">
        <f t="shared" ref="G412:I412" si="344">G411</f>
        <v>2017</v>
      </c>
      <c r="H412" s="20" t="str">
        <f t="shared" si="344"/>
        <v>aqdecu2017</v>
      </c>
      <c r="I412" s="20" t="str">
        <f t="shared" si="344"/>
        <v>ANÁLISE QUANTITATIVA DE EVENTOS CRIMINAIS UTILIZANDO ABORDAGEM SEMÂNTICA</v>
      </c>
      <c r="J412" s="20" t="str">
        <f t="shared" si="2"/>
        <v>Análise Quantitativa</v>
      </c>
      <c r="K412" s="20"/>
      <c r="L412" s="20" t="str">
        <f t="shared" si="3"/>
        <v>análise quantitativa</v>
      </c>
      <c r="M412" s="18"/>
      <c r="N412" s="21" t="str">
        <f>IFERROR(__xludf.DUMMYFUNCTION("""COMPUTED_VALUE""")," Análise Quantitativa")</f>
        <v> Análise Quantitativa</v>
      </c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</row>
    <row r="413">
      <c r="A413" s="22"/>
      <c r="B413" s="23"/>
      <c r="C413" s="24"/>
      <c r="D413" s="24"/>
      <c r="E413" s="18"/>
      <c r="F413" s="18"/>
      <c r="G413" s="25">
        <f t="shared" ref="G413:I413" si="345">G412</f>
        <v>2017</v>
      </c>
      <c r="H413" s="20" t="str">
        <f t="shared" si="345"/>
        <v>aqdecu2017</v>
      </c>
      <c r="I413" s="20" t="str">
        <f t="shared" si="345"/>
        <v>ANÁLISE QUANTITATIVA DE EVENTOS CRIMINAIS UTILIZANDO ABORDAGEM SEMÂNTICA</v>
      </c>
      <c r="J413" s="20" t="str">
        <f t="shared" si="2"/>
        <v>Gerenciamento de Riscos</v>
      </c>
      <c r="K413" s="20"/>
      <c r="L413" s="20" t="str">
        <f t="shared" si="3"/>
        <v>gerenciamento de riscos</v>
      </c>
      <c r="M413" s="18"/>
      <c r="N413" s="21" t="str">
        <f>IFERROR(__xludf.DUMMYFUNCTION("""COMPUTED_VALUE""")," Gerenciamento de Riscos")</f>
        <v> Gerenciamento de Riscos</v>
      </c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</row>
    <row r="414">
      <c r="A414" s="22"/>
      <c r="B414" s="23"/>
      <c r="C414" s="24"/>
      <c r="D414" s="24"/>
      <c r="E414" s="18"/>
      <c r="F414" s="18"/>
      <c r="G414" s="25">
        <f t="shared" ref="G414:I414" si="346">G413</f>
        <v>2017</v>
      </c>
      <c r="H414" s="20" t="str">
        <f t="shared" si="346"/>
        <v>aqdecu2017</v>
      </c>
      <c r="I414" s="20" t="str">
        <f t="shared" si="346"/>
        <v>ANÁLISE QUANTITATIVA DE EVENTOS CRIMINAIS UTILIZANDO ABORDAGEM SEMÂNTICA</v>
      </c>
      <c r="J414" s="20" t="str">
        <f t="shared" si="2"/>
        <v/>
      </c>
      <c r="K414" s="20"/>
      <c r="L414" s="20" t="str">
        <f t="shared" si="3"/>
        <v/>
      </c>
      <c r="M414" s="18"/>
      <c r="N414" s="21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</row>
    <row r="415">
      <c r="A415" s="8"/>
      <c r="B415" s="23"/>
      <c r="C415" s="24"/>
      <c r="D415" s="24"/>
      <c r="E415" s="18"/>
      <c r="F415" s="18"/>
      <c r="G415" s="25">
        <f t="shared" ref="G415:I415" si="347">G414</f>
        <v>2017</v>
      </c>
      <c r="H415" s="20" t="str">
        <f t="shared" si="347"/>
        <v>aqdecu2017</v>
      </c>
      <c r="I415" s="20" t="str">
        <f t="shared" si="347"/>
        <v>ANÁLISE QUANTITATIVA DE EVENTOS CRIMINAIS UTILIZANDO ABORDAGEM SEMÂNTICA</v>
      </c>
      <c r="J415" s="20" t="str">
        <f t="shared" si="2"/>
        <v/>
      </c>
      <c r="K415" s="20"/>
      <c r="L415" s="20" t="str">
        <f t="shared" si="3"/>
        <v/>
      </c>
      <c r="M415" s="18"/>
      <c r="N415" s="21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</row>
    <row r="416">
      <c r="A416" s="8" t="s">
        <v>54</v>
      </c>
      <c r="B416" s="9">
        <v>2017.0</v>
      </c>
      <c r="C416" s="10" t="s">
        <v>192</v>
      </c>
      <c r="D416" s="10" t="s">
        <v>193</v>
      </c>
      <c r="E416" s="18"/>
      <c r="F416" s="18"/>
      <c r="G416" s="12">
        <f>B416</f>
        <v>2017</v>
      </c>
      <c r="H416" s="13" t="str">
        <f>LOWER(left(O416,1)&amp;left(P416,1)&amp;left(Q416,1)&amp;left(R416,1)&amp;left(S416,1)&amp;left(T416,1))&amp;G416</f>
        <v>opedws2017</v>
      </c>
      <c r="I416" s="20" t="str">
        <f>trim(C416)</f>
        <v>O PAPEL ESTRATÉGICO DA WEB SEMÂNTICA NO CONTEXTO DO BIG DATA</v>
      </c>
      <c r="J416" s="20" t="str">
        <f t="shared" si="2"/>
        <v>Web Semântica</v>
      </c>
      <c r="K416" s="20"/>
      <c r="L416" s="20" t="str">
        <f t="shared" si="3"/>
        <v>web semântica</v>
      </c>
      <c r="M416" s="18"/>
      <c r="N416" s="21" t="str">
        <f>IFERROR(__xludf.DUMMYFUNCTION("TRANSPOSE(split(D416,"";"",true,true))"),"Web Semântica")</f>
        <v>Web Semântica</v>
      </c>
      <c r="O416" s="6" t="str">
        <f>IFERROR(__xludf.DUMMYFUNCTION("split(C416,"" "")"),"O")</f>
        <v>O</v>
      </c>
      <c r="P416" s="18" t="str">
        <f>IFERROR(__xludf.DUMMYFUNCTION("""COMPUTED_VALUE"""),"PAPEL")</f>
        <v>PAPEL</v>
      </c>
      <c r="Q416" s="18" t="str">
        <f>IFERROR(__xludf.DUMMYFUNCTION("""COMPUTED_VALUE"""),"ESTRATÉGICO")</f>
        <v>ESTRATÉGICO</v>
      </c>
      <c r="R416" s="18" t="str">
        <f>IFERROR(__xludf.DUMMYFUNCTION("""COMPUTED_VALUE"""),"DA")</f>
        <v>DA</v>
      </c>
      <c r="S416" s="18" t="str">
        <f>IFERROR(__xludf.DUMMYFUNCTION("""COMPUTED_VALUE"""),"WEB")</f>
        <v>WEB</v>
      </c>
      <c r="T416" s="18" t="str">
        <f>IFERROR(__xludf.DUMMYFUNCTION("""COMPUTED_VALUE"""),"SEMÂNTICA")</f>
        <v>SEMÂNTICA</v>
      </c>
      <c r="U416" s="18" t="str">
        <f>IFERROR(__xludf.DUMMYFUNCTION("""COMPUTED_VALUE"""),"NO")</f>
        <v>NO</v>
      </c>
      <c r="V416" s="18" t="str">
        <f>IFERROR(__xludf.DUMMYFUNCTION("""COMPUTED_VALUE"""),"CONTEXTO")</f>
        <v>CONTEXTO</v>
      </c>
      <c r="W416" s="18" t="str">
        <f>IFERROR(__xludf.DUMMYFUNCTION("""COMPUTED_VALUE"""),"DO")</f>
        <v>DO</v>
      </c>
      <c r="X416" s="18" t="str">
        <f>IFERROR(__xludf.DUMMYFUNCTION("""COMPUTED_VALUE"""),"BIG")</f>
        <v>BIG</v>
      </c>
      <c r="Y416" s="18" t="str">
        <f>IFERROR(__xludf.DUMMYFUNCTION("""COMPUTED_VALUE"""),"DATA")</f>
        <v>DATA</v>
      </c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</row>
    <row r="417">
      <c r="A417" s="22"/>
      <c r="B417" s="23"/>
      <c r="C417" s="24"/>
      <c r="D417" s="24"/>
      <c r="E417" s="18"/>
      <c r="F417" s="18"/>
      <c r="G417" s="25">
        <f t="shared" ref="G417:I417" si="348">G416</f>
        <v>2017</v>
      </c>
      <c r="H417" s="20" t="str">
        <f t="shared" si="348"/>
        <v>opedws2017</v>
      </c>
      <c r="I417" s="20" t="str">
        <f t="shared" si="348"/>
        <v>O PAPEL ESTRATÉGICO DA WEB SEMÂNTICA NO CONTEXTO DO BIG DATA</v>
      </c>
      <c r="J417" s="20" t="str">
        <f t="shared" si="2"/>
        <v>Big Data</v>
      </c>
      <c r="K417" s="20"/>
      <c r="L417" s="20" t="str">
        <f t="shared" si="3"/>
        <v>big data</v>
      </c>
      <c r="M417" s="18"/>
      <c r="N417" s="21" t="str">
        <f>IFERROR(__xludf.DUMMYFUNCTION("""COMPUTED_VALUE""")," Big Data")</f>
        <v> Big Data</v>
      </c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</row>
    <row r="418">
      <c r="A418" s="22"/>
      <c r="B418" s="23"/>
      <c r="C418" s="24"/>
      <c r="D418" s="24"/>
      <c r="E418" s="18"/>
      <c r="F418" s="18"/>
      <c r="G418" s="25">
        <f t="shared" ref="G418:I418" si="349">G417</f>
        <v>2017</v>
      </c>
      <c r="H418" s="20" t="str">
        <f t="shared" si="349"/>
        <v>opedws2017</v>
      </c>
      <c r="I418" s="20" t="str">
        <f t="shared" si="349"/>
        <v>O PAPEL ESTRATÉGICO DA WEB SEMÂNTICA NO CONTEXTO DO BIG DATA</v>
      </c>
      <c r="J418" s="20" t="str">
        <f t="shared" si="2"/>
        <v>Tecnologias da Web Semântica</v>
      </c>
      <c r="K418" s="20"/>
      <c r="L418" s="20" t="str">
        <f t="shared" si="3"/>
        <v>tecnologias da web semântica</v>
      </c>
      <c r="M418" s="18"/>
      <c r="N418" s="21" t="str">
        <f>IFERROR(__xludf.DUMMYFUNCTION("""COMPUTED_VALUE""")," Tecnologias da Web Semântica")</f>
        <v> Tecnologias da Web Semântica</v>
      </c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</row>
    <row r="419">
      <c r="A419" s="22"/>
      <c r="B419" s="23"/>
      <c r="C419" s="24"/>
      <c r="D419" s="24"/>
      <c r="E419" s="18"/>
      <c r="F419" s="18"/>
      <c r="G419" s="25">
        <f t="shared" ref="G419:I419" si="350">G418</f>
        <v>2017</v>
      </c>
      <c r="H419" s="20" t="str">
        <f t="shared" si="350"/>
        <v>opedws2017</v>
      </c>
      <c r="I419" s="20" t="str">
        <f t="shared" si="350"/>
        <v>O PAPEL ESTRATÉGICO DA WEB SEMÂNTICA NO CONTEXTO DO BIG DATA</v>
      </c>
      <c r="J419" s="20" t="str">
        <f t="shared" si="2"/>
        <v/>
      </c>
      <c r="K419" s="20"/>
      <c r="L419" s="20" t="str">
        <f t="shared" si="3"/>
        <v/>
      </c>
      <c r="M419" s="18"/>
      <c r="N419" s="21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</row>
    <row r="420">
      <c r="A420" s="22"/>
      <c r="B420" s="23"/>
      <c r="C420" s="24"/>
      <c r="D420" s="24"/>
      <c r="E420" s="18"/>
      <c r="F420" s="18"/>
      <c r="G420" s="25">
        <f t="shared" ref="G420:I420" si="351">G419</f>
        <v>2017</v>
      </c>
      <c r="H420" s="20" t="str">
        <f t="shared" si="351"/>
        <v>opedws2017</v>
      </c>
      <c r="I420" s="20" t="str">
        <f t="shared" si="351"/>
        <v>O PAPEL ESTRATÉGICO DA WEB SEMÂNTICA NO CONTEXTO DO BIG DATA</v>
      </c>
      <c r="J420" s="20" t="str">
        <f t="shared" si="2"/>
        <v/>
      </c>
      <c r="K420" s="20"/>
      <c r="L420" s="20" t="str">
        <f t="shared" si="3"/>
        <v/>
      </c>
      <c r="M420" s="18"/>
      <c r="N420" s="21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</row>
    <row r="421">
      <c r="A421" s="8"/>
      <c r="B421" s="23"/>
      <c r="C421" s="24"/>
      <c r="D421" s="24"/>
      <c r="E421" s="18"/>
      <c r="F421" s="18"/>
      <c r="G421" s="25">
        <f t="shared" ref="G421:I421" si="352">G420</f>
        <v>2017</v>
      </c>
      <c r="H421" s="20" t="str">
        <f t="shared" si="352"/>
        <v>opedws2017</v>
      </c>
      <c r="I421" s="20" t="str">
        <f t="shared" si="352"/>
        <v>O PAPEL ESTRATÉGICO DA WEB SEMÂNTICA NO CONTEXTO DO BIG DATA</v>
      </c>
      <c r="J421" s="20" t="str">
        <f t="shared" si="2"/>
        <v/>
      </c>
      <c r="K421" s="20"/>
      <c r="L421" s="20" t="str">
        <f t="shared" si="3"/>
        <v/>
      </c>
      <c r="M421" s="18"/>
      <c r="N421" s="21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</row>
    <row r="422">
      <c r="A422" s="8" t="s">
        <v>54</v>
      </c>
      <c r="B422" s="9">
        <v>2017.0</v>
      </c>
      <c r="C422" s="10" t="s">
        <v>194</v>
      </c>
      <c r="D422" s="10" t="s">
        <v>195</v>
      </c>
      <c r="E422" s="18"/>
      <c r="F422" s="18"/>
      <c r="G422" s="12">
        <f>B422</f>
        <v>2017</v>
      </c>
      <c r="H422" s="13" t="str">
        <f>LOWER(left(O422,1)&amp;left(P422,1)&amp;left(Q422,1)&amp;left(R422,1)&amp;left(S422,1)&amp;left(T422,1))&amp;G422</f>
        <v>dvotbn2017</v>
      </c>
      <c r="I422" s="20" t="str">
        <f>trim(C422)</f>
        <v>Data Visualization of the Brazilian National High School Exam: VisDadosEnem</v>
      </c>
      <c r="J422" s="20" t="str">
        <f t="shared" si="2"/>
        <v>Visualização da Informação</v>
      </c>
      <c r="K422" s="20"/>
      <c r="L422" s="20" t="str">
        <f t="shared" si="3"/>
        <v>visualização da informação</v>
      </c>
      <c r="M422" s="18"/>
      <c r="N422" s="21" t="str">
        <f>IFERROR(__xludf.DUMMYFUNCTION("TRANSPOSE(split(D422,"";"",true,true))"),"Visualização da Informação")</f>
        <v>Visualização da Informação</v>
      </c>
      <c r="O422" s="6" t="str">
        <f>IFERROR(__xludf.DUMMYFUNCTION("split(C422,"" "")"),"Data")</f>
        <v>Data</v>
      </c>
      <c r="P422" s="18" t="str">
        <f>IFERROR(__xludf.DUMMYFUNCTION("""COMPUTED_VALUE"""),"Visualization")</f>
        <v>Visualization</v>
      </c>
      <c r="Q422" s="18" t="str">
        <f>IFERROR(__xludf.DUMMYFUNCTION("""COMPUTED_VALUE"""),"of")</f>
        <v>of</v>
      </c>
      <c r="R422" s="18" t="str">
        <f>IFERROR(__xludf.DUMMYFUNCTION("""COMPUTED_VALUE"""),"the")</f>
        <v>the</v>
      </c>
      <c r="S422" s="18" t="str">
        <f>IFERROR(__xludf.DUMMYFUNCTION("""COMPUTED_VALUE"""),"Brazilian")</f>
        <v>Brazilian</v>
      </c>
      <c r="T422" s="18" t="str">
        <f>IFERROR(__xludf.DUMMYFUNCTION("""COMPUTED_VALUE"""),"National")</f>
        <v>National</v>
      </c>
      <c r="U422" s="18" t="str">
        <f>IFERROR(__xludf.DUMMYFUNCTION("""COMPUTED_VALUE"""),"High")</f>
        <v>High</v>
      </c>
      <c r="V422" s="18" t="str">
        <f>IFERROR(__xludf.DUMMYFUNCTION("""COMPUTED_VALUE"""),"School")</f>
        <v>School</v>
      </c>
      <c r="W422" s="18" t="str">
        <f>IFERROR(__xludf.DUMMYFUNCTION("""COMPUTED_VALUE"""),"Exam:")</f>
        <v>Exam:</v>
      </c>
      <c r="X422" s="18" t="str">
        <f>IFERROR(__xludf.DUMMYFUNCTION("""COMPUTED_VALUE"""),"VisDadosEnem")</f>
        <v>VisDadosEnem</v>
      </c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</row>
    <row r="423">
      <c r="A423" s="22"/>
      <c r="B423" s="23"/>
      <c r="C423" s="24"/>
      <c r="D423" s="24"/>
      <c r="E423" s="18"/>
      <c r="F423" s="18"/>
      <c r="G423" s="25">
        <f t="shared" ref="G423:I423" si="353">G422</f>
        <v>2017</v>
      </c>
      <c r="H423" s="20" t="str">
        <f t="shared" si="353"/>
        <v>dvotbn2017</v>
      </c>
      <c r="I423" s="20" t="str">
        <f t="shared" si="353"/>
        <v>Data Visualization of the Brazilian National High School Exam: VisDadosEnem</v>
      </c>
      <c r="J423" s="20" t="str">
        <f t="shared" si="2"/>
        <v>Ciência dos Dados</v>
      </c>
      <c r="K423" s="20"/>
      <c r="L423" s="20" t="str">
        <f t="shared" si="3"/>
        <v>ciência dos dados</v>
      </c>
      <c r="M423" s="18"/>
      <c r="N423" s="21" t="str">
        <f>IFERROR(__xludf.DUMMYFUNCTION("""COMPUTED_VALUE""")," Ciência dos Dados")</f>
        <v> Ciência dos Dados</v>
      </c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</row>
    <row r="424">
      <c r="A424" s="22"/>
      <c r="B424" s="23"/>
      <c r="C424" s="24"/>
      <c r="D424" s="24"/>
      <c r="E424" s="18"/>
      <c r="F424" s="18"/>
      <c r="G424" s="25">
        <f t="shared" ref="G424:I424" si="354">G423</f>
        <v>2017</v>
      </c>
      <c r="H424" s="20" t="str">
        <f t="shared" si="354"/>
        <v>dvotbn2017</v>
      </c>
      <c r="I424" s="20" t="str">
        <f t="shared" si="354"/>
        <v>Data Visualization of the Brazilian National High School Exam: VisDadosEnem</v>
      </c>
      <c r="J424" s="20" t="str">
        <f t="shared" si="2"/>
        <v>Dados Abertos</v>
      </c>
      <c r="K424" s="20"/>
      <c r="L424" s="20" t="str">
        <f t="shared" si="3"/>
        <v>dados abertos</v>
      </c>
      <c r="M424" s="18"/>
      <c r="N424" s="21" t="str">
        <f>IFERROR(__xludf.DUMMYFUNCTION("""COMPUTED_VALUE""")," Dados Abertos")</f>
        <v> Dados Abertos</v>
      </c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</row>
    <row r="425">
      <c r="A425" s="22"/>
      <c r="B425" s="23"/>
      <c r="C425" s="24"/>
      <c r="D425" s="24"/>
      <c r="E425" s="18"/>
      <c r="F425" s="18"/>
      <c r="G425" s="25">
        <f t="shared" ref="G425:I425" si="355">G424</f>
        <v>2017</v>
      </c>
      <c r="H425" s="20" t="str">
        <f t="shared" si="355"/>
        <v>dvotbn2017</v>
      </c>
      <c r="I425" s="20" t="str">
        <f t="shared" si="355"/>
        <v>Data Visualization of the Brazilian National High School Exam: VisDadosEnem</v>
      </c>
      <c r="J425" s="20" t="str">
        <f t="shared" si="2"/>
        <v>Educação</v>
      </c>
      <c r="K425" s="20"/>
      <c r="L425" s="20" t="str">
        <f t="shared" si="3"/>
        <v>educação</v>
      </c>
      <c r="M425" s="18"/>
      <c r="N425" s="21" t="str">
        <f>IFERROR(__xludf.DUMMYFUNCTION("""COMPUTED_VALUE""")," Educação")</f>
        <v> Educação</v>
      </c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</row>
    <row r="426">
      <c r="A426" s="22"/>
      <c r="B426" s="23"/>
      <c r="C426" s="24"/>
      <c r="D426" s="24"/>
      <c r="E426" s="18"/>
      <c r="F426" s="18"/>
      <c r="G426" s="25">
        <f t="shared" ref="G426:I426" si="356">G425</f>
        <v>2017</v>
      </c>
      <c r="H426" s="20" t="str">
        <f t="shared" si="356"/>
        <v>dvotbn2017</v>
      </c>
      <c r="I426" s="20" t="str">
        <f t="shared" si="356"/>
        <v>Data Visualization of the Brazilian National High School Exam: VisDadosEnem</v>
      </c>
      <c r="J426" s="20" t="str">
        <f t="shared" si="2"/>
        <v/>
      </c>
      <c r="K426" s="20"/>
      <c r="L426" s="20" t="str">
        <f t="shared" si="3"/>
        <v/>
      </c>
      <c r="M426" s="18"/>
      <c r="N426" s="21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</row>
    <row r="427">
      <c r="A427" s="8"/>
      <c r="B427" s="23"/>
      <c r="C427" s="24"/>
      <c r="D427" s="24"/>
      <c r="E427" s="18"/>
      <c r="F427" s="18"/>
      <c r="G427" s="25">
        <f t="shared" ref="G427:I427" si="357">G426</f>
        <v>2017</v>
      </c>
      <c r="H427" s="20" t="str">
        <f t="shared" si="357"/>
        <v>dvotbn2017</v>
      </c>
      <c r="I427" s="20" t="str">
        <f t="shared" si="357"/>
        <v>Data Visualization of the Brazilian National High School Exam: VisDadosEnem</v>
      </c>
      <c r="J427" s="20" t="str">
        <f t="shared" si="2"/>
        <v/>
      </c>
      <c r="K427" s="20"/>
      <c r="L427" s="20" t="str">
        <f t="shared" si="3"/>
        <v/>
      </c>
      <c r="M427" s="18"/>
      <c r="N427" s="21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</row>
    <row r="428">
      <c r="A428" s="8" t="s">
        <v>54</v>
      </c>
      <c r="B428" s="9">
        <v>2017.0</v>
      </c>
      <c r="C428" s="10" t="s">
        <v>196</v>
      </c>
      <c r="D428" s="10" t="s">
        <v>197</v>
      </c>
      <c r="E428" s="18"/>
      <c r="F428" s="18"/>
      <c r="G428" s="12">
        <f>B428</f>
        <v>2017</v>
      </c>
      <c r="H428" s="13" t="str">
        <f>LOWER(left(O428,1)&amp;left(P428,1)&amp;left(Q428,1)&amp;left(R428,1)&amp;left(S428,1)&amp;left(T428,1))&amp;G428</f>
        <v>vdidvd2017</v>
      </c>
      <c r="I428" s="20" t="str">
        <f>trim(C428)</f>
        <v>Visualização de Informações de Variação de Incidência Criminal em Sistema Orienatado à Obtenção de Consciência Situaciona</v>
      </c>
      <c r="J428" s="20" t="str">
        <f t="shared" si="2"/>
        <v>Visualização de informações</v>
      </c>
      <c r="K428" s="20"/>
      <c r="L428" s="20" t="str">
        <f t="shared" si="3"/>
        <v>visualização de informações</v>
      </c>
      <c r="M428" s="18"/>
      <c r="N428" s="21" t="str">
        <f>IFERROR(__xludf.DUMMYFUNCTION("TRANSPOSE(split(D428,"";"",true,true))"),"Visualização de informações")</f>
        <v>Visualização de informações</v>
      </c>
      <c r="O428" s="6" t="str">
        <f>IFERROR(__xludf.DUMMYFUNCTION("split(C428,"" "")"),"Visualização")</f>
        <v>Visualização</v>
      </c>
      <c r="P428" s="18" t="str">
        <f>IFERROR(__xludf.DUMMYFUNCTION("""COMPUTED_VALUE"""),"de")</f>
        <v>de</v>
      </c>
      <c r="Q428" s="18" t="str">
        <f>IFERROR(__xludf.DUMMYFUNCTION("""COMPUTED_VALUE"""),"Informações")</f>
        <v>Informações</v>
      </c>
      <c r="R428" s="18" t="str">
        <f>IFERROR(__xludf.DUMMYFUNCTION("""COMPUTED_VALUE"""),"de")</f>
        <v>de</v>
      </c>
      <c r="S428" s="18" t="str">
        <f>IFERROR(__xludf.DUMMYFUNCTION("""COMPUTED_VALUE"""),"Variação")</f>
        <v>Variação</v>
      </c>
      <c r="T428" s="18" t="str">
        <f>IFERROR(__xludf.DUMMYFUNCTION("""COMPUTED_VALUE"""),"de")</f>
        <v>de</v>
      </c>
      <c r="U428" s="18" t="str">
        <f>IFERROR(__xludf.DUMMYFUNCTION("""COMPUTED_VALUE"""),"Incidência")</f>
        <v>Incidência</v>
      </c>
      <c r="V428" s="18" t="str">
        <f>IFERROR(__xludf.DUMMYFUNCTION("""COMPUTED_VALUE"""),"Criminal")</f>
        <v>Criminal</v>
      </c>
      <c r="W428" s="18" t="str">
        <f>IFERROR(__xludf.DUMMYFUNCTION("""COMPUTED_VALUE"""),"em")</f>
        <v>em</v>
      </c>
      <c r="X428" s="18" t="str">
        <f>IFERROR(__xludf.DUMMYFUNCTION("""COMPUTED_VALUE"""),"Sistema")</f>
        <v>Sistema</v>
      </c>
      <c r="Y428" s="18" t="str">
        <f>IFERROR(__xludf.DUMMYFUNCTION("""COMPUTED_VALUE"""),"Orienatado")</f>
        <v>Orienatado</v>
      </c>
      <c r="Z428" s="18" t="str">
        <f>IFERROR(__xludf.DUMMYFUNCTION("""COMPUTED_VALUE"""),"à")</f>
        <v>à</v>
      </c>
      <c r="AA428" s="18" t="str">
        <f>IFERROR(__xludf.DUMMYFUNCTION("""COMPUTED_VALUE"""),"Obtenção")</f>
        <v>Obtenção</v>
      </c>
      <c r="AB428" s="18" t="str">
        <f>IFERROR(__xludf.DUMMYFUNCTION("""COMPUTED_VALUE"""),"de")</f>
        <v>de</v>
      </c>
      <c r="AC428" s="18" t="str">
        <f>IFERROR(__xludf.DUMMYFUNCTION("""COMPUTED_VALUE"""),"Consciência")</f>
        <v>Consciência</v>
      </c>
      <c r="AD428" s="18" t="str">
        <f>IFERROR(__xludf.DUMMYFUNCTION("""COMPUTED_VALUE"""),"Situaciona")</f>
        <v>Situaciona</v>
      </c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</row>
    <row r="429">
      <c r="A429" s="22"/>
      <c r="B429" s="23"/>
      <c r="C429" s="24"/>
      <c r="D429" s="24"/>
      <c r="E429" s="18"/>
      <c r="F429" s="18"/>
      <c r="G429" s="25">
        <f t="shared" ref="G429:I429" si="358">G428</f>
        <v>2017</v>
      </c>
      <c r="H429" s="20" t="str">
        <f t="shared" si="358"/>
        <v>vdidvd2017</v>
      </c>
      <c r="I429" s="20" t="str">
        <f t="shared" si="358"/>
        <v>Visualização de Informações de Variação de Incidência Criminal em Sistema Orienatado à Obtenção de Consciência Situaciona</v>
      </c>
      <c r="J429" s="20" t="str">
        <f t="shared" si="2"/>
        <v>consciência situacional</v>
      </c>
      <c r="K429" s="20"/>
      <c r="L429" s="20" t="str">
        <f t="shared" si="3"/>
        <v>consciência situacional</v>
      </c>
      <c r="M429" s="18"/>
      <c r="N429" s="21" t="str">
        <f>IFERROR(__xludf.DUMMYFUNCTION("""COMPUTED_VALUE""")," consciência situacional")</f>
        <v> consciência situacional</v>
      </c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</row>
    <row r="430">
      <c r="A430" s="22"/>
      <c r="B430" s="23"/>
      <c r="C430" s="24"/>
      <c r="D430" s="24"/>
      <c r="E430" s="18"/>
      <c r="F430" s="18"/>
      <c r="G430" s="25">
        <f t="shared" ref="G430:I430" si="359">G429</f>
        <v>2017</v>
      </c>
      <c r="H430" s="20" t="str">
        <f t="shared" si="359"/>
        <v>vdidvd2017</v>
      </c>
      <c r="I430" s="20" t="str">
        <f t="shared" si="359"/>
        <v>Visualização de Informações de Variação de Incidência Criminal em Sistema Orienatado à Obtenção de Consciência Situaciona</v>
      </c>
      <c r="J430" s="20" t="str">
        <f t="shared" si="2"/>
        <v>cenário criminal</v>
      </c>
      <c r="K430" s="20"/>
      <c r="L430" s="20" t="str">
        <f t="shared" si="3"/>
        <v>cenário criminal</v>
      </c>
      <c r="M430" s="18"/>
      <c r="N430" s="21" t="str">
        <f>IFERROR(__xludf.DUMMYFUNCTION("""COMPUTED_VALUE""")," cenário criminal")</f>
        <v> cenário criminal</v>
      </c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</row>
    <row r="431">
      <c r="A431" s="22"/>
      <c r="B431" s="23"/>
      <c r="C431" s="24"/>
      <c r="D431" s="24"/>
      <c r="E431" s="18"/>
      <c r="F431" s="18"/>
      <c r="G431" s="25">
        <f t="shared" ref="G431:I431" si="360">G430</f>
        <v>2017</v>
      </c>
      <c r="H431" s="20" t="str">
        <f t="shared" si="360"/>
        <v>vdidvd2017</v>
      </c>
      <c r="I431" s="20" t="str">
        <f t="shared" si="360"/>
        <v>Visualização de Informações de Variação de Incidência Criminal em Sistema Orienatado à Obtenção de Consciência Situaciona</v>
      </c>
      <c r="J431" s="20" t="str">
        <f t="shared" si="2"/>
        <v/>
      </c>
      <c r="K431" s="20"/>
      <c r="L431" s="20" t="str">
        <f t="shared" si="3"/>
        <v/>
      </c>
      <c r="M431" s="18"/>
      <c r="N431" s="21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</row>
    <row r="432">
      <c r="A432" s="22"/>
      <c r="B432" s="23"/>
      <c r="C432" s="24"/>
      <c r="D432" s="24"/>
      <c r="E432" s="18"/>
      <c r="F432" s="18"/>
      <c r="G432" s="25">
        <f t="shared" ref="G432:I432" si="361">G431</f>
        <v>2017</v>
      </c>
      <c r="H432" s="20" t="str">
        <f t="shared" si="361"/>
        <v>vdidvd2017</v>
      </c>
      <c r="I432" s="20" t="str">
        <f t="shared" si="361"/>
        <v>Visualização de Informações de Variação de Incidência Criminal em Sistema Orienatado à Obtenção de Consciência Situaciona</v>
      </c>
      <c r="J432" s="20" t="str">
        <f t="shared" si="2"/>
        <v/>
      </c>
      <c r="K432" s="20"/>
      <c r="L432" s="20" t="str">
        <f t="shared" si="3"/>
        <v/>
      </c>
      <c r="M432" s="18"/>
      <c r="N432" s="21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</row>
    <row r="433">
      <c r="A433" s="8"/>
      <c r="B433" s="23"/>
      <c r="C433" s="24"/>
      <c r="D433" s="24"/>
      <c r="E433" s="18"/>
      <c r="F433" s="18"/>
      <c r="G433" s="25">
        <f t="shared" ref="G433:I433" si="362">G432</f>
        <v>2017</v>
      </c>
      <c r="H433" s="20" t="str">
        <f t="shared" si="362"/>
        <v>vdidvd2017</v>
      </c>
      <c r="I433" s="20" t="str">
        <f t="shared" si="362"/>
        <v>Visualização de Informações de Variação de Incidência Criminal em Sistema Orienatado à Obtenção de Consciência Situaciona</v>
      </c>
      <c r="J433" s="20" t="str">
        <f t="shared" si="2"/>
        <v/>
      </c>
      <c r="K433" s="20"/>
      <c r="L433" s="20" t="str">
        <f t="shared" si="3"/>
        <v/>
      </c>
      <c r="M433" s="18"/>
      <c r="N433" s="21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</row>
    <row r="434">
      <c r="A434" s="8" t="s">
        <v>54</v>
      </c>
      <c r="B434" s="9">
        <v>2017.0</v>
      </c>
      <c r="C434" s="10" t="s">
        <v>198</v>
      </c>
      <c r="D434" s="10" t="s">
        <v>199</v>
      </c>
      <c r="E434" s="18"/>
      <c r="F434" s="18"/>
      <c r="G434" s="12">
        <f>B434</f>
        <v>2017</v>
      </c>
      <c r="H434" s="13" t="str">
        <f>LOWER(left(O434,1)&amp;left(P434,1)&amp;left(Q434,1)&amp;left(R434,1)&amp;left(S434,1)&amp;left(T434,1))&amp;G434</f>
        <v>adedun2017</v>
      </c>
      <c r="I434" s="20" t="str">
        <f>trim(C434)</f>
        <v>ASPECTOS DE EXPERIÊNCIA DE USUÁRIO NO PORTAL WIKICI</v>
      </c>
      <c r="J434" s="20" t="str">
        <f t="shared" si="2"/>
        <v>Ciência da Informação</v>
      </c>
      <c r="K434" s="20"/>
      <c r="L434" s="20" t="str">
        <f t="shared" si="3"/>
        <v>ciência da informação</v>
      </c>
      <c r="M434" s="18"/>
      <c r="N434" s="21" t="str">
        <f>IFERROR(__xludf.DUMMYFUNCTION("TRANSPOSE(split(D434,"";"",true,true))"),"Ciência da Informação")</f>
        <v>Ciência da Informação</v>
      </c>
      <c r="O434" s="6" t="str">
        <f>IFERROR(__xludf.DUMMYFUNCTION("split(C434,"" "")"),"ASPECTOS")</f>
        <v>ASPECTOS</v>
      </c>
      <c r="P434" s="18" t="str">
        <f>IFERROR(__xludf.DUMMYFUNCTION("""COMPUTED_VALUE"""),"DE")</f>
        <v>DE</v>
      </c>
      <c r="Q434" s="18" t="str">
        <f>IFERROR(__xludf.DUMMYFUNCTION("""COMPUTED_VALUE"""),"EXPERIÊNCIA")</f>
        <v>EXPERIÊNCIA</v>
      </c>
      <c r="R434" s="18" t="str">
        <f>IFERROR(__xludf.DUMMYFUNCTION("""COMPUTED_VALUE"""),"DE")</f>
        <v>DE</v>
      </c>
      <c r="S434" s="18" t="str">
        <f>IFERROR(__xludf.DUMMYFUNCTION("""COMPUTED_VALUE"""),"USUÁRIO")</f>
        <v>USUÁRIO</v>
      </c>
      <c r="T434" s="18" t="str">
        <f>IFERROR(__xludf.DUMMYFUNCTION("""COMPUTED_VALUE"""),"NO")</f>
        <v>NO</v>
      </c>
      <c r="U434" s="18" t="str">
        <f>IFERROR(__xludf.DUMMYFUNCTION("""COMPUTED_VALUE"""),"PORTAL")</f>
        <v>PORTAL</v>
      </c>
      <c r="V434" s="18" t="str">
        <f>IFERROR(__xludf.DUMMYFUNCTION("""COMPUTED_VALUE"""),"WIKICI")</f>
        <v>WIKICI</v>
      </c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</row>
    <row r="435">
      <c r="A435" s="22"/>
      <c r="B435" s="23"/>
      <c r="C435" s="24"/>
      <c r="D435" s="24"/>
      <c r="E435" s="18"/>
      <c r="F435" s="18"/>
      <c r="G435" s="25">
        <f t="shared" ref="G435:I435" si="363">G434</f>
        <v>2017</v>
      </c>
      <c r="H435" s="20" t="str">
        <f t="shared" si="363"/>
        <v>adedun2017</v>
      </c>
      <c r="I435" s="20" t="str">
        <f t="shared" si="363"/>
        <v>ASPECTOS DE EXPERIÊNCIA DE USUÁRIO NO PORTAL WIKICI</v>
      </c>
      <c r="J435" s="20" t="str">
        <f t="shared" si="2"/>
        <v>Arquitetura da Informação</v>
      </c>
      <c r="K435" s="20"/>
      <c r="L435" s="20" t="str">
        <f t="shared" si="3"/>
        <v>arquitetura da informação</v>
      </c>
      <c r="M435" s="18"/>
      <c r="N435" s="21" t="str">
        <f>IFERROR(__xludf.DUMMYFUNCTION("""COMPUTED_VALUE""")," Arquitetura da Informação")</f>
        <v> Arquitetura da Informação</v>
      </c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</row>
    <row r="436">
      <c r="A436" s="22"/>
      <c r="B436" s="23"/>
      <c r="C436" s="24"/>
      <c r="D436" s="24"/>
      <c r="E436" s="18"/>
      <c r="F436" s="18"/>
      <c r="G436" s="25">
        <f t="shared" ref="G436:I436" si="364">G435</f>
        <v>2017</v>
      </c>
      <c r="H436" s="20" t="str">
        <f t="shared" si="364"/>
        <v>adedun2017</v>
      </c>
      <c r="I436" s="20" t="str">
        <f t="shared" si="364"/>
        <v>ASPECTOS DE EXPERIÊNCIA DE USUÁRIO NO PORTAL WIKICI</v>
      </c>
      <c r="J436" s="20" t="str">
        <f t="shared" si="2"/>
        <v>Wiki</v>
      </c>
      <c r="K436" s="20"/>
      <c r="L436" s="20" t="str">
        <f t="shared" si="3"/>
        <v>wiki</v>
      </c>
      <c r="M436" s="18"/>
      <c r="N436" s="21" t="str">
        <f>IFERROR(__xludf.DUMMYFUNCTION("""COMPUTED_VALUE""")," Wiki")</f>
        <v> Wiki</v>
      </c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</row>
    <row r="437">
      <c r="A437" s="22"/>
      <c r="B437" s="23"/>
      <c r="C437" s="24"/>
      <c r="D437" s="24"/>
      <c r="E437" s="18"/>
      <c r="F437" s="18"/>
      <c r="G437" s="25">
        <f t="shared" ref="G437:I437" si="365">G436</f>
        <v>2017</v>
      </c>
      <c r="H437" s="20" t="str">
        <f t="shared" si="365"/>
        <v>adedun2017</v>
      </c>
      <c r="I437" s="20" t="str">
        <f t="shared" si="365"/>
        <v>ASPECTOS DE EXPERIÊNCIA DE USUÁRIO NO PORTAL WIKICI</v>
      </c>
      <c r="J437" s="20" t="str">
        <f t="shared" si="2"/>
        <v>Experiência de Usuário</v>
      </c>
      <c r="K437" s="20"/>
      <c r="L437" s="20" t="str">
        <f t="shared" si="3"/>
        <v>experiência de usuário</v>
      </c>
      <c r="M437" s="18"/>
      <c r="N437" s="21" t="str">
        <f>IFERROR(__xludf.DUMMYFUNCTION("""COMPUTED_VALUE""")," Experiência de Usuário")</f>
        <v> Experiência de Usuário</v>
      </c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</row>
    <row r="438">
      <c r="A438" s="22"/>
      <c r="B438" s="23"/>
      <c r="C438" s="24"/>
      <c r="D438" s="24"/>
      <c r="E438" s="18"/>
      <c r="F438" s="18"/>
      <c r="G438" s="25">
        <f t="shared" ref="G438:I438" si="366">G437</f>
        <v>2017</v>
      </c>
      <c r="H438" s="20" t="str">
        <f t="shared" si="366"/>
        <v>adedun2017</v>
      </c>
      <c r="I438" s="20" t="str">
        <f t="shared" si="366"/>
        <v>ASPECTOS DE EXPERIÊNCIA DE USUÁRIO NO PORTAL WIKICI</v>
      </c>
      <c r="J438" s="20" t="str">
        <f t="shared" si="2"/>
        <v>UX</v>
      </c>
      <c r="K438" s="20"/>
      <c r="L438" s="20" t="str">
        <f t="shared" si="3"/>
        <v>ux</v>
      </c>
      <c r="M438" s="18"/>
      <c r="N438" s="21" t="str">
        <f>IFERROR(__xludf.DUMMYFUNCTION("""COMPUTED_VALUE""")," UX")</f>
        <v> UX</v>
      </c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</row>
    <row r="439">
      <c r="A439" s="8"/>
      <c r="B439" s="23"/>
      <c r="C439" s="24"/>
      <c r="D439" s="24"/>
      <c r="E439" s="18"/>
      <c r="F439" s="18"/>
      <c r="G439" s="25">
        <f t="shared" ref="G439:I439" si="367">G438</f>
        <v>2017</v>
      </c>
      <c r="H439" s="20" t="str">
        <f t="shared" si="367"/>
        <v>adedun2017</v>
      </c>
      <c r="I439" s="20" t="str">
        <f t="shared" si="367"/>
        <v>ASPECTOS DE EXPERIÊNCIA DE USUÁRIO NO PORTAL WIKICI</v>
      </c>
      <c r="J439" s="20" t="str">
        <f t="shared" si="2"/>
        <v/>
      </c>
      <c r="K439" s="20"/>
      <c r="L439" s="20" t="str">
        <f t="shared" si="3"/>
        <v/>
      </c>
      <c r="M439" s="18"/>
      <c r="N439" s="21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</row>
    <row r="440">
      <c r="A440" s="8" t="s">
        <v>54</v>
      </c>
      <c r="B440" s="9">
        <v>2017.0</v>
      </c>
      <c r="C440" s="10" t="s">
        <v>200</v>
      </c>
      <c r="D440" s="10" t="s">
        <v>201</v>
      </c>
      <c r="E440" s="18"/>
      <c r="F440" s="18"/>
      <c r="G440" s="12">
        <f>B440</f>
        <v>2017</v>
      </c>
      <c r="H440" s="13" t="str">
        <f>LOWER(left(O440,1)&amp;left(P440,1)&amp;left(Q440,1)&amp;left(R440,1)&amp;left(S440,1)&amp;left(T440,1))&amp;G440</f>
        <v>pdgddn2017</v>
      </c>
      <c r="I440" s="20" t="str">
        <f>trim(C440)</f>
        <v>PLANO DE GERENCIAMENTO DE DADOS NO CONTEXTO DOS REPOSITÓRIOS DE DADOS DE UNIVERSIDADES</v>
      </c>
      <c r="J440" s="20" t="str">
        <f t="shared" si="2"/>
        <v>Plano de Gerenciamento de Dados</v>
      </c>
      <c r="K440" s="20"/>
      <c r="L440" s="20" t="str">
        <f t="shared" si="3"/>
        <v>plano de gerenciamento de dados</v>
      </c>
      <c r="M440" s="18"/>
      <c r="N440" s="21" t="str">
        <f>IFERROR(__xludf.DUMMYFUNCTION("TRANSPOSE(split(D440,"";"",true,true))"),"Plano de Gerenciamento de Dados")</f>
        <v>Plano de Gerenciamento de Dados</v>
      </c>
      <c r="O440" s="6" t="str">
        <f>IFERROR(__xludf.DUMMYFUNCTION("split(C440,"" "")"),"PLANO")</f>
        <v>PLANO</v>
      </c>
      <c r="P440" s="18" t="str">
        <f>IFERROR(__xludf.DUMMYFUNCTION("""COMPUTED_VALUE"""),"DE")</f>
        <v>DE</v>
      </c>
      <c r="Q440" s="18" t="str">
        <f>IFERROR(__xludf.DUMMYFUNCTION("""COMPUTED_VALUE"""),"GERENCIAMENTO")</f>
        <v>GERENCIAMENTO</v>
      </c>
      <c r="R440" s="18" t="str">
        <f>IFERROR(__xludf.DUMMYFUNCTION("""COMPUTED_VALUE"""),"DE")</f>
        <v>DE</v>
      </c>
      <c r="S440" s="18" t="str">
        <f>IFERROR(__xludf.DUMMYFUNCTION("""COMPUTED_VALUE"""),"DADOS")</f>
        <v>DADOS</v>
      </c>
      <c r="T440" s="18" t="str">
        <f>IFERROR(__xludf.DUMMYFUNCTION("""COMPUTED_VALUE"""),"NO")</f>
        <v>NO</v>
      </c>
      <c r="U440" s="18" t="str">
        <f>IFERROR(__xludf.DUMMYFUNCTION("""COMPUTED_VALUE"""),"CONTEXTO")</f>
        <v>CONTEXTO</v>
      </c>
      <c r="V440" s="18" t="str">
        <f>IFERROR(__xludf.DUMMYFUNCTION("""COMPUTED_VALUE"""),"DOS")</f>
        <v>DOS</v>
      </c>
      <c r="W440" s="18" t="str">
        <f>IFERROR(__xludf.DUMMYFUNCTION("""COMPUTED_VALUE"""),"REPOSITÓRIOS")</f>
        <v>REPOSITÓRIOS</v>
      </c>
      <c r="X440" s="18" t="str">
        <f>IFERROR(__xludf.DUMMYFUNCTION("""COMPUTED_VALUE"""),"DE")</f>
        <v>DE</v>
      </c>
      <c r="Y440" s="18" t="str">
        <f>IFERROR(__xludf.DUMMYFUNCTION("""COMPUTED_VALUE"""),"DADOS")</f>
        <v>DADOS</v>
      </c>
      <c r="Z440" s="18" t="str">
        <f>IFERROR(__xludf.DUMMYFUNCTION("""COMPUTED_VALUE"""),"DE")</f>
        <v>DE</v>
      </c>
      <c r="AA440" s="18" t="str">
        <f>IFERROR(__xludf.DUMMYFUNCTION("""COMPUTED_VALUE"""),"UNIVERSIDADES")</f>
        <v>UNIVERSIDADES</v>
      </c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</row>
    <row r="441">
      <c r="A441" s="22"/>
      <c r="B441" s="23"/>
      <c r="C441" s="24"/>
      <c r="D441" s="24"/>
      <c r="E441" s="18"/>
      <c r="F441" s="18"/>
      <c r="G441" s="25">
        <f t="shared" ref="G441:I441" si="368">G440</f>
        <v>2017</v>
      </c>
      <c r="H441" s="20" t="str">
        <f t="shared" si="368"/>
        <v>pdgddn2017</v>
      </c>
      <c r="I441" s="20" t="str">
        <f t="shared" si="368"/>
        <v>PLANO DE GERENCIAMENTO DE DADOS NO CONTEXTO DOS REPOSITÓRIOS DE DADOS DE UNIVERSIDADES</v>
      </c>
      <c r="J441" s="20" t="str">
        <f t="shared" si="2"/>
        <v>Gestão de dados</v>
      </c>
      <c r="K441" s="20"/>
      <c r="L441" s="20" t="str">
        <f t="shared" si="3"/>
        <v>gestão de dados</v>
      </c>
      <c r="M441" s="18"/>
      <c r="N441" s="21" t="str">
        <f>IFERROR(__xludf.DUMMYFUNCTION("""COMPUTED_VALUE""")," Gestão de dados")</f>
        <v> Gestão de dados</v>
      </c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</row>
    <row r="442">
      <c r="A442" s="22"/>
      <c r="B442" s="23"/>
      <c r="C442" s="24"/>
      <c r="D442" s="24"/>
      <c r="E442" s="18"/>
      <c r="F442" s="18"/>
      <c r="G442" s="25">
        <f t="shared" ref="G442:I442" si="369">G441</f>
        <v>2017</v>
      </c>
      <c r="H442" s="20" t="str">
        <f t="shared" si="369"/>
        <v>pdgddn2017</v>
      </c>
      <c r="I442" s="20" t="str">
        <f t="shared" si="369"/>
        <v>PLANO DE GERENCIAMENTO DE DADOS NO CONTEXTO DOS REPOSITÓRIOS DE DADOS DE UNIVERSIDADES</v>
      </c>
      <c r="J442" s="20" t="str">
        <f t="shared" si="2"/>
        <v>Dados científicos</v>
      </c>
      <c r="K442" s="20"/>
      <c r="L442" s="20" t="str">
        <f t="shared" si="3"/>
        <v>dados científicos</v>
      </c>
      <c r="M442" s="18"/>
      <c r="N442" s="21" t="str">
        <f>IFERROR(__xludf.DUMMYFUNCTION("""COMPUTED_VALUE""")," Dados científicos")</f>
        <v> Dados científicos</v>
      </c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</row>
    <row r="443">
      <c r="A443" s="22"/>
      <c r="B443" s="23"/>
      <c r="C443" s="24"/>
      <c r="D443" s="24"/>
      <c r="E443" s="18"/>
      <c r="F443" s="18"/>
      <c r="G443" s="25">
        <f t="shared" ref="G443:I443" si="370">G442</f>
        <v>2017</v>
      </c>
      <c r="H443" s="20" t="str">
        <f t="shared" si="370"/>
        <v>pdgddn2017</v>
      </c>
      <c r="I443" s="20" t="str">
        <f t="shared" si="370"/>
        <v>PLANO DE GERENCIAMENTO DE DADOS NO CONTEXTO DOS REPOSITÓRIOS DE DADOS DE UNIVERSIDADES</v>
      </c>
      <c r="J443" s="20" t="str">
        <f t="shared" si="2"/>
        <v>Repositório de dados</v>
      </c>
      <c r="K443" s="20"/>
      <c r="L443" s="20" t="str">
        <f t="shared" si="3"/>
        <v>repositório de dados</v>
      </c>
      <c r="M443" s="18"/>
      <c r="N443" s="21" t="str">
        <f>IFERROR(__xludf.DUMMYFUNCTION("""COMPUTED_VALUE""")," Repositório de dados")</f>
        <v> Repositório de dados</v>
      </c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</row>
    <row r="444">
      <c r="A444" s="22"/>
      <c r="B444" s="23"/>
      <c r="C444" s="24"/>
      <c r="D444" s="24"/>
      <c r="E444" s="18"/>
      <c r="F444" s="18"/>
      <c r="G444" s="25">
        <f t="shared" ref="G444:I444" si="371">G443</f>
        <v>2017</v>
      </c>
      <c r="H444" s="20" t="str">
        <f t="shared" si="371"/>
        <v>pdgddn2017</v>
      </c>
      <c r="I444" s="20" t="str">
        <f t="shared" si="371"/>
        <v>PLANO DE GERENCIAMENTO DE DADOS NO CONTEXTO DOS REPOSITÓRIOS DE DADOS DE UNIVERSIDADES</v>
      </c>
      <c r="J444" s="20" t="str">
        <f t="shared" si="2"/>
        <v/>
      </c>
      <c r="K444" s="20"/>
      <c r="L444" s="20" t="str">
        <f t="shared" si="3"/>
        <v/>
      </c>
      <c r="M444" s="18"/>
      <c r="N444" s="21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</row>
    <row r="445">
      <c r="A445" s="8"/>
      <c r="B445" s="23"/>
      <c r="C445" s="24"/>
      <c r="D445" s="24"/>
      <c r="E445" s="18"/>
      <c r="F445" s="18"/>
      <c r="G445" s="25">
        <f t="shared" ref="G445:I445" si="372">G444</f>
        <v>2017</v>
      </c>
      <c r="H445" s="20" t="str">
        <f t="shared" si="372"/>
        <v>pdgddn2017</v>
      </c>
      <c r="I445" s="20" t="str">
        <f t="shared" si="372"/>
        <v>PLANO DE GERENCIAMENTO DE DADOS NO CONTEXTO DOS REPOSITÓRIOS DE DADOS DE UNIVERSIDADES</v>
      </c>
      <c r="J445" s="20" t="str">
        <f t="shared" si="2"/>
        <v/>
      </c>
      <c r="K445" s="20"/>
      <c r="L445" s="20" t="str">
        <f t="shared" si="3"/>
        <v/>
      </c>
      <c r="M445" s="18"/>
      <c r="N445" s="21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</row>
    <row r="446">
      <c r="A446" s="8" t="s">
        <v>54</v>
      </c>
      <c r="B446" s="9">
        <v>2017.0</v>
      </c>
      <c r="C446" s="10" t="s">
        <v>202</v>
      </c>
      <c r="D446" s="10" t="s">
        <v>203</v>
      </c>
      <c r="E446" s="18"/>
      <c r="F446" s="18"/>
      <c r="G446" s="12">
        <f>B446</f>
        <v>2017</v>
      </c>
      <c r="H446" s="13" t="str">
        <f>LOWER(left(O446,1)&amp;left(P446,1)&amp;left(Q446,1)&amp;left(R446,1)&amp;left(S446,1)&amp;left(T446,1))&amp;G446</f>
        <v>rddcas2017</v>
      </c>
      <c r="I446" s="20" t="str">
        <f>trim(C446)</f>
        <v>REPOSITÓRIO DE DADOS CIENTÍFICOS: aspectos sobre privacidade de dados</v>
      </c>
      <c r="J446" s="20" t="str">
        <f t="shared" si="2"/>
        <v>Repositório de dados</v>
      </c>
      <c r="K446" s="20"/>
      <c r="L446" s="20" t="str">
        <f t="shared" si="3"/>
        <v>repositório de dados</v>
      </c>
      <c r="M446" s="18"/>
      <c r="N446" s="21" t="str">
        <f>IFERROR(__xludf.DUMMYFUNCTION("TRANSPOSE(split(D446,"";"",true,true))"),"Repositório de dados")</f>
        <v>Repositório de dados</v>
      </c>
      <c r="O446" s="6" t="str">
        <f>IFERROR(__xludf.DUMMYFUNCTION("split(C446,"" "")"),"REPOSITÓRIO")</f>
        <v>REPOSITÓRIO</v>
      </c>
      <c r="P446" s="18" t="str">
        <f>IFERROR(__xludf.DUMMYFUNCTION("""COMPUTED_VALUE"""),"DE")</f>
        <v>DE</v>
      </c>
      <c r="Q446" s="18" t="str">
        <f>IFERROR(__xludf.DUMMYFUNCTION("""COMPUTED_VALUE"""),"DADOS")</f>
        <v>DADOS</v>
      </c>
      <c r="R446" s="18" t="str">
        <f>IFERROR(__xludf.DUMMYFUNCTION("""COMPUTED_VALUE"""),"CIENTÍFICOS:")</f>
        <v>CIENTÍFICOS:</v>
      </c>
      <c r="S446" s="18" t="str">
        <f>IFERROR(__xludf.DUMMYFUNCTION("""COMPUTED_VALUE"""),"aspectos")</f>
        <v>aspectos</v>
      </c>
      <c r="T446" s="18" t="str">
        <f>IFERROR(__xludf.DUMMYFUNCTION("""COMPUTED_VALUE"""),"sobre")</f>
        <v>sobre</v>
      </c>
      <c r="U446" s="18" t="str">
        <f>IFERROR(__xludf.DUMMYFUNCTION("""COMPUTED_VALUE"""),"privacidade")</f>
        <v>privacidade</v>
      </c>
      <c r="V446" s="18" t="str">
        <f>IFERROR(__xludf.DUMMYFUNCTION("""COMPUTED_VALUE"""),"de")</f>
        <v>de</v>
      </c>
      <c r="W446" s="18" t="str">
        <f>IFERROR(__xludf.DUMMYFUNCTION("""COMPUTED_VALUE"""),"dados")</f>
        <v>dados</v>
      </c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</row>
    <row r="447">
      <c r="A447" s="22"/>
      <c r="B447" s="23"/>
      <c r="C447" s="24"/>
      <c r="D447" s="24"/>
      <c r="E447" s="18"/>
      <c r="F447" s="18"/>
      <c r="G447" s="25">
        <f t="shared" ref="G447:I447" si="373">G446</f>
        <v>2017</v>
      </c>
      <c r="H447" s="20" t="str">
        <f t="shared" si="373"/>
        <v>rddcas2017</v>
      </c>
      <c r="I447" s="20" t="str">
        <f t="shared" si="373"/>
        <v>REPOSITÓRIO DE DADOS CIENTÍFICOS: aspectos sobre privacidade de dados</v>
      </c>
      <c r="J447" s="20" t="str">
        <f t="shared" si="2"/>
        <v>Privacidade de dados</v>
      </c>
      <c r="K447" s="20"/>
      <c r="L447" s="20" t="str">
        <f t="shared" si="3"/>
        <v>privacidade de dados</v>
      </c>
      <c r="M447" s="18"/>
      <c r="N447" s="21" t="str">
        <f>IFERROR(__xludf.DUMMYFUNCTION("""COMPUTED_VALUE""")," Privacidade de dados")</f>
        <v> Privacidade de dados</v>
      </c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</row>
    <row r="448">
      <c r="A448" s="22"/>
      <c r="B448" s="23"/>
      <c r="C448" s="24"/>
      <c r="D448" s="24"/>
      <c r="E448" s="18"/>
      <c r="F448" s="18"/>
      <c r="G448" s="25">
        <f t="shared" ref="G448:I448" si="374">G447</f>
        <v>2017</v>
      </c>
      <c r="H448" s="20" t="str">
        <f t="shared" si="374"/>
        <v>rddcas2017</v>
      </c>
      <c r="I448" s="20" t="str">
        <f t="shared" si="374"/>
        <v>REPOSITÓRIO DE DADOS CIENTÍFICOS: aspectos sobre privacidade de dados</v>
      </c>
      <c r="J448" s="20" t="str">
        <f t="shared" si="2"/>
        <v>Anonimização de dados</v>
      </c>
      <c r="K448" s="20"/>
      <c r="L448" s="20" t="str">
        <f t="shared" si="3"/>
        <v>anonimização de dados</v>
      </c>
      <c r="M448" s="18"/>
      <c r="N448" s="21" t="str">
        <f>IFERROR(__xludf.DUMMYFUNCTION("""COMPUTED_VALUE""")," Anonimização de dados")</f>
        <v> Anonimização de dados</v>
      </c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</row>
    <row r="449">
      <c r="A449" s="22"/>
      <c r="B449" s="23"/>
      <c r="C449" s="24"/>
      <c r="D449" s="24"/>
      <c r="E449" s="18"/>
      <c r="F449" s="18"/>
      <c r="G449" s="25">
        <f t="shared" ref="G449:I449" si="375">G448</f>
        <v>2017</v>
      </c>
      <c r="H449" s="20" t="str">
        <f t="shared" si="375"/>
        <v>rddcas2017</v>
      </c>
      <c r="I449" s="20" t="str">
        <f t="shared" si="375"/>
        <v>REPOSITÓRIO DE DADOS CIENTÍFICOS: aspectos sobre privacidade de dados</v>
      </c>
      <c r="J449" s="20" t="str">
        <f t="shared" si="2"/>
        <v/>
      </c>
      <c r="K449" s="20"/>
      <c r="L449" s="20" t="str">
        <f t="shared" si="3"/>
        <v/>
      </c>
      <c r="M449" s="18"/>
      <c r="N449" s="21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</row>
    <row r="450">
      <c r="A450" s="22"/>
      <c r="B450" s="23"/>
      <c r="C450" s="24"/>
      <c r="D450" s="24"/>
      <c r="E450" s="18"/>
      <c r="F450" s="18"/>
      <c r="G450" s="25">
        <f t="shared" ref="G450:I450" si="376">G449</f>
        <v>2017</v>
      </c>
      <c r="H450" s="20" t="str">
        <f t="shared" si="376"/>
        <v>rddcas2017</v>
      </c>
      <c r="I450" s="20" t="str">
        <f t="shared" si="376"/>
        <v>REPOSITÓRIO DE DADOS CIENTÍFICOS: aspectos sobre privacidade de dados</v>
      </c>
      <c r="J450" s="20" t="str">
        <f t="shared" si="2"/>
        <v/>
      </c>
      <c r="K450" s="20"/>
      <c r="L450" s="20" t="str">
        <f t="shared" si="3"/>
        <v/>
      </c>
      <c r="M450" s="18"/>
      <c r="N450" s="21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</row>
    <row r="451">
      <c r="A451" s="8"/>
      <c r="B451" s="23"/>
      <c r="C451" s="24"/>
      <c r="D451" s="24"/>
      <c r="E451" s="18"/>
      <c r="F451" s="18"/>
      <c r="G451" s="25">
        <f t="shared" ref="G451:I451" si="377">G450</f>
        <v>2017</v>
      </c>
      <c r="H451" s="20" t="str">
        <f t="shared" si="377"/>
        <v>rddcas2017</v>
      </c>
      <c r="I451" s="20" t="str">
        <f t="shared" si="377"/>
        <v>REPOSITÓRIO DE DADOS CIENTÍFICOS: aspectos sobre privacidade de dados</v>
      </c>
      <c r="J451" s="20" t="str">
        <f t="shared" si="2"/>
        <v/>
      </c>
      <c r="K451" s="20"/>
      <c r="L451" s="20" t="str">
        <f t="shared" si="3"/>
        <v/>
      </c>
      <c r="M451" s="18"/>
      <c r="N451" s="21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</row>
    <row r="452">
      <c r="A452" s="8" t="s">
        <v>54</v>
      </c>
      <c r="B452" s="9">
        <v>2017.0</v>
      </c>
      <c r="C452" s="10" t="s">
        <v>204</v>
      </c>
      <c r="D452" s="10" t="s">
        <v>205</v>
      </c>
      <c r="E452" s="18"/>
      <c r="F452" s="18"/>
      <c r="G452" s="12">
        <f>B452</f>
        <v>2017</v>
      </c>
      <c r="H452" s="13" t="str">
        <f>LOWER(left(O452,1)&amp;left(P452,1)&amp;left(Q452,1)&amp;left(R452,1)&amp;left(S452,1)&amp;left(T452,1))&amp;G452</f>
        <v>rdsppd2017</v>
      </c>
      <c r="I452" s="20" t="str">
        <f>trim(C452)</f>
        <v>REQUISITOS DE SEGURANÇA PARA PROVEDORES DE SERVIÇOS EM NUVEM DE ACORDO COM A NORMA ISO 27017</v>
      </c>
      <c r="J452" s="20" t="str">
        <f t="shared" si="2"/>
        <v>Big data</v>
      </c>
      <c r="K452" s="20"/>
      <c r="L452" s="20" t="str">
        <f t="shared" si="3"/>
        <v>big data</v>
      </c>
      <c r="M452" s="18"/>
      <c r="N452" s="21" t="str">
        <f>IFERROR(__xludf.DUMMYFUNCTION("TRANSPOSE(split(D452,"";"",true,true))"),"Big data")</f>
        <v>Big data</v>
      </c>
      <c r="O452" s="6" t="str">
        <f>IFERROR(__xludf.DUMMYFUNCTION("split(C452,"" "")"),"REQUISITOS")</f>
        <v>REQUISITOS</v>
      </c>
      <c r="P452" s="18" t="str">
        <f>IFERROR(__xludf.DUMMYFUNCTION("""COMPUTED_VALUE"""),"DE")</f>
        <v>DE</v>
      </c>
      <c r="Q452" s="18" t="str">
        <f>IFERROR(__xludf.DUMMYFUNCTION("""COMPUTED_VALUE"""),"SEGURANÇA")</f>
        <v>SEGURANÇA</v>
      </c>
      <c r="R452" s="18" t="str">
        <f>IFERROR(__xludf.DUMMYFUNCTION("""COMPUTED_VALUE"""),"PARA")</f>
        <v>PARA</v>
      </c>
      <c r="S452" s="18" t="str">
        <f>IFERROR(__xludf.DUMMYFUNCTION("""COMPUTED_VALUE"""),"PROVEDORES")</f>
        <v>PROVEDORES</v>
      </c>
      <c r="T452" s="18" t="str">
        <f>IFERROR(__xludf.DUMMYFUNCTION("""COMPUTED_VALUE"""),"DE")</f>
        <v>DE</v>
      </c>
      <c r="U452" s="18" t="str">
        <f>IFERROR(__xludf.DUMMYFUNCTION("""COMPUTED_VALUE"""),"SERVIÇOS")</f>
        <v>SERVIÇOS</v>
      </c>
      <c r="V452" s="18" t="str">
        <f>IFERROR(__xludf.DUMMYFUNCTION("""COMPUTED_VALUE"""),"EM")</f>
        <v>EM</v>
      </c>
      <c r="W452" s="18" t="str">
        <f>IFERROR(__xludf.DUMMYFUNCTION("""COMPUTED_VALUE"""),"NUVEM")</f>
        <v>NUVEM</v>
      </c>
      <c r="X452" s="18" t="str">
        <f>IFERROR(__xludf.DUMMYFUNCTION("""COMPUTED_VALUE"""),"DE")</f>
        <v>DE</v>
      </c>
      <c r="Y452" s="18" t="str">
        <f>IFERROR(__xludf.DUMMYFUNCTION("""COMPUTED_VALUE"""),"ACORDO")</f>
        <v>ACORDO</v>
      </c>
      <c r="Z452" s="18" t="str">
        <f>IFERROR(__xludf.DUMMYFUNCTION("""COMPUTED_VALUE"""),"COM")</f>
        <v>COM</v>
      </c>
      <c r="AA452" s="18" t="str">
        <f>IFERROR(__xludf.DUMMYFUNCTION("""COMPUTED_VALUE"""),"A")</f>
        <v>A</v>
      </c>
      <c r="AB452" s="18" t="str">
        <f>IFERROR(__xludf.DUMMYFUNCTION("""COMPUTED_VALUE"""),"NORMA")</f>
        <v>NORMA</v>
      </c>
      <c r="AC452" s="18" t="str">
        <f>IFERROR(__xludf.DUMMYFUNCTION("""COMPUTED_VALUE"""),"ISO")</f>
        <v>ISO</v>
      </c>
      <c r="AD452" s="18">
        <f>IFERROR(__xludf.DUMMYFUNCTION("""COMPUTED_VALUE"""),27017.0)</f>
        <v>27017</v>
      </c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</row>
    <row r="453">
      <c r="A453" s="22"/>
      <c r="B453" s="23"/>
      <c r="C453" s="24"/>
      <c r="D453" s="24"/>
      <c r="E453" s="18"/>
      <c r="F453" s="18"/>
      <c r="G453" s="25">
        <f t="shared" ref="G453:I453" si="378">G452</f>
        <v>2017</v>
      </c>
      <c r="H453" s="20" t="str">
        <f t="shared" si="378"/>
        <v>rdsppd2017</v>
      </c>
      <c r="I453" s="20" t="str">
        <f t="shared" si="378"/>
        <v>REQUISITOS DE SEGURANÇA PARA PROVEDORES DE SERVIÇOS EM NUVEM DE ACORDO COM A NORMA ISO 27017</v>
      </c>
      <c r="J453" s="20" t="str">
        <f t="shared" si="2"/>
        <v>Serviços em nuvem</v>
      </c>
      <c r="K453" s="20"/>
      <c r="L453" s="20" t="str">
        <f t="shared" si="3"/>
        <v>serviços em nuvem</v>
      </c>
      <c r="M453" s="18"/>
      <c r="N453" s="21" t="str">
        <f>IFERROR(__xludf.DUMMYFUNCTION("""COMPUTED_VALUE""")," Serviços em nuvem")</f>
        <v> Serviços em nuvem</v>
      </c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</row>
    <row r="454">
      <c r="A454" s="22"/>
      <c r="B454" s="23"/>
      <c r="C454" s="24"/>
      <c r="D454" s="24"/>
      <c r="E454" s="18"/>
      <c r="F454" s="18"/>
      <c r="G454" s="25">
        <f t="shared" ref="G454:I454" si="379">G453</f>
        <v>2017</v>
      </c>
      <c r="H454" s="20" t="str">
        <f t="shared" si="379"/>
        <v>rdsppd2017</v>
      </c>
      <c r="I454" s="20" t="str">
        <f t="shared" si="379"/>
        <v>REQUISITOS DE SEGURANÇA PARA PROVEDORES DE SERVIÇOS EM NUVEM DE ACORDO COM A NORMA ISO 27017</v>
      </c>
      <c r="J454" s="20" t="str">
        <f t="shared" si="2"/>
        <v>Segurança da Informação</v>
      </c>
      <c r="K454" s="20"/>
      <c r="L454" s="20" t="str">
        <f t="shared" si="3"/>
        <v>segurança da informação</v>
      </c>
      <c r="M454" s="18"/>
      <c r="N454" s="21" t="str">
        <f>IFERROR(__xludf.DUMMYFUNCTION("""COMPUTED_VALUE""")," Segurança da Informação")</f>
        <v> Segurança da Informação</v>
      </c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</row>
    <row r="455">
      <c r="A455" s="22"/>
      <c r="B455" s="23"/>
      <c r="C455" s="24"/>
      <c r="D455" s="24"/>
      <c r="E455" s="18"/>
      <c r="F455" s="18"/>
      <c r="G455" s="25">
        <f t="shared" ref="G455:I455" si="380">G454</f>
        <v>2017</v>
      </c>
      <c r="H455" s="20" t="str">
        <f t="shared" si="380"/>
        <v>rdsppd2017</v>
      </c>
      <c r="I455" s="20" t="str">
        <f t="shared" si="380"/>
        <v>REQUISITOS DE SEGURANÇA PARA PROVEDORES DE SERVIÇOS EM NUVEM DE ACORDO COM A NORMA ISO 27017</v>
      </c>
      <c r="J455" s="20" t="str">
        <f t="shared" si="2"/>
        <v>ISO 27017</v>
      </c>
      <c r="K455" s="20"/>
      <c r="L455" s="20" t="str">
        <f t="shared" si="3"/>
        <v>iso 27017</v>
      </c>
      <c r="M455" s="18"/>
      <c r="N455" s="21" t="str">
        <f>IFERROR(__xludf.DUMMYFUNCTION("""COMPUTED_VALUE""")," ISO 27017")</f>
        <v> ISO 27017</v>
      </c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</row>
    <row r="456">
      <c r="A456" s="22"/>
      <c r="B456" s="23"/>
      <c r="C456" s="24"/>
      <c r="D456" s="24"/>
      <c r="E456" s="18"/>
      <c r="F456" s="18"/>
      <c r="G456" s="25">
        <f t="shared" ref="G456:I456" si="381">G455</f>
        <v>2017</v>
      </c>
      <c r="H456" s="20" t="str">
        <f t="shared" si="381"/>
        <v>rdsppd2017</v>
      </c>
      <c r="I456" s="20" t="str">
        <f t="shared" si="381"/>
        <v>REQUISITOS DE SEGURANÇA PARA PROVEDORES DE SERVIÇOS EM NUVEM DE ACORDO COM A NORMA ISO 27017</v>
      </c>
      <c r="J456" s="20" t="str">
        <f t="shared" si="2"/>
        <v/>
      </c>
      <c r="K456" s="20"/>
      <c r="L456" s="20" t="str">
        <f t="shared" si="3"/>
        <v/>
      </c>
      <c r="M456" s="18"/>
      <c r="N456" s="21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</row>
    <row r="457">
      <c r="A457" s="22"/>
      <c r="B457" s="23"/>
      <c r="C457" s="24"/>
      <c r="D457" s="24"/>
      <c r="E457" s="18"/>
      <c r="F457" s="18"/>
      <c r="G457" s="25">
        <f t="shared" ref="G457:I457" si="382">G456</f>
        <v>2017</v>
      </c>
      <c r="H457" s="20" t="str">
        <f t="shared" si="382"/>
        <v>rdsppd2017</v>
      </c>
      <c r="I457" s="20" t="str">
        <f t="shared" si="382"/>
        <v>REQUISITOS DE SEGURANÇA PARA PROVEDORES DE SERVIÇOS EM NUVEM DE ACORDO COM A NORMA ISO 27017</v>
      </c>
      <c r="J457" s="20" t="str">
        <f t="shared" si="2"/>
        <v/>
      </c>
      <c r="K457" s="20"/>
      <c r="L457" s="20" t="str">
        <f t="shared" si="3"/>
        <v/>
      </c>
      <c r="M457" s="18"/>
      <c r="N457" s="21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</row>
    <row r="458">
      <c r="A458" s="8" t="s">
        <v>54</v>
      </c>
      <c r="B458" s="9">
        <v>2017.0</v>
      </c>
      <c r="C458" s="10" t="s">
        <v>206</v>
      </c>
      <c r="D458" s="10" t="s">
        <v>207</v>
      </c>
      <c r="E458" s="18"/>
      <c r="F458" s="18"/>
      <c r="G458" s="12">
        <f>B458</f>
        <v>2017</v>
      </c>
      <c r="H458" s="13" t="str">
        <f>LOWER(left(O458,1)&amp;left(P458,1)&amp;left(Q458,1)&amp;left(R458,1)&amp;left(S458,1)&amp;left(T458,1))&amp;G458</f>
        <v>adieas2017</v>
      </c>
      <c r="I458" s="20" t="str">
        <f>trim(C458)</f>
        <v>Arquitetura da Informação e a Sintaxe das Linguagens Imagéticas no Website Guia Gay Floripa</v>
      </c>
      <c r="J458" s="20" t="str">
        <f t="shared" si="2"/>
        <v>Arquitetura da Informação</v>
      </c>
      <c r="K458" s="20"/>
      <c r="L458" s="20" t="str">
        <f t="shared" si="3"/>
        <v>arquitetura da informação</v>
      </c>
      <c r="M458" s="18"/>
      <c r="N458" s="21" t="str">
        <f>IFERROR(__xludf.DUMMYFUNCTION("TRANSPOSE(split(D458,"";"",true,true))"),"Arquitetura da Informação")</f>
        <v>Arquitetura da Informação</v>
      </c>
      <c r="O458" s="6" t="str">
        <f>IFERROR(__xludf.DUMMYFUNCTION("split(C458,"" "")"),"Arquitetura")</f>
        <v>Arquitetura</v>
      </c>
      <c r="P458" s="18" t="str">
        <f>IFERROR(__xludf.DUMMYFUNCTION("""COMPUTED_VALUE"""),"da")</f>
        <v>da</v>
      </c>
      <c r="Q458" s="18" t="str">
        <f>IFERROR(__xludf.DUMMYFUNCTION("""COMPUTED_VALUE"""),"Informação")</f>
        <v>Informação</v>
      </c>
      <c r="R458" s="18" t="str">
        <f>IFERROR(__xludf.DUMMYFUNCTION("""COMPUTED_VALUE"""),"e")</f>
        <v>e</v>
      </c>
      <c r="S458" s="18" t="str">
        <f>IFERROR(__xludf.DUMMYFUNCTION("""COMPUTED_VALUE"""),"a")</f>
        <v>a</v>
      </c>
      <c r="T458" s="18" t="str">
        <f>IFERROR(__xludf.DUMMYFUNCTION("""COMPUTED_VALUE"""),"Sintaxe")</f>
        <v>Sintaxe</v>
      </c>
      <c r="U458" s="18" t="str">
        <f>IFERROR(__xludf.DUMMYFUNCTION("""COMPUTED_VALUE"""),"das")</f>
        <v>das</v>
      </c>
      <c r="V458" s="18" t="str">
        <f>IFERROR(__xludf.DUMMYFUNCTION("""COMPUTED_VALUE"""),"Linguagens")</f>
        <v>Linguagens</v>
      </c>
      <c r="W458" s="18" t="str">
        <f>IFERROR(__xludf.DUMMYFUNCTION("""COMPUTED_VALUE"""),"Imagéticas")</f>
        <v>Imagéticas</v>
      </c>
      <c r="X458" s="18" t="str">
        <f>IFERROR(__xludf.DUMMYFUNCTION("""COMPUTED_VALUE"""),"no")</f>
        <v>no</v>
      </c>
      <c r="Y458" s="18" t="str">
        <f>IFERROR(__xludf.DUMMYFUNCTION("""COMPUTED_VALUE"""),"Website")</f>
        <v>Website</v>
      </c>
      <c r="Z458" s="18" t="str">
        <f>IFERROR(__xludf.DUMMYFUNCTION("""COMPUTED_VALUE"""),"Guia")</f>
        <v>Guia</v>
      </c>
      <c r="AA458" s="18" t="str">
        <f>IFERROR(__xludf.DUMMYFUNCTION("""COMPUTED_VALUE"""),"Gay")</f>
        <v>Gay</v>
      </c>
      <c r="AB458" s="18" t="str">
        <f>IFERROR(__xludf.DUMMYFUNCTION("""COMPUTED_VALUE"""),"Floripa")</f>
        <v>Floripa</v>
      </c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</row>
    <row r="459">
      <c r="A459" s="22"/>
      <c r="B459" s="23"/>
      <c r="C459" s="24"/>
      <c r="D459" s="24"/>
      <c r="E459" s="18"/>
      <c r="F459" s="18"/>
      <c r="G459" s="25">
        <f t="shared" ref="G459:I459" si="383">G458</f>
        <v>2017</v>
      </c>
      <c r="H459" s="20" t="str">
        <f t="shared" si="383"/>
        <v>adieas2017</v>
      </c>
      <c r="I459" s="20" t="str">
        <f t="shared" si="383"/>
        <v>Arquitetura da Informação e a Sintaxe das Linguagens Imagéticas no Website Guia Gay Floripa</v>
      </c>
      <c r="J459" s="20" t="str">
        <f t="shared" si="2"/>
        <v>Linguagens imagéticas</v>
      </c>
      <c r="K459" s="20"/>
      <c r="L459" s="20" t="str">
        <f t="shared" si="3"/>
        <v>linguagens imagéticas</v>
      </c>
      <c r="M459" s="18"/>
      <c r="N459" s="21" t="str">
        <f>IFERROR(__xludf.DUMMYFUNCTION("""COMPUTED_VALUE""")," Linguagens imagéticas")</f>
        <v> Linguagens imagéticas</v>
      </c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</row>
    <row r="460">
      <c r="A460" s="22"/>
      <c r="B460" s="23"/>
      <c r="C460" s="24"/>
      <c r="D460" s="24"/>
      <c r="E460" s="18"/>
      <c r="F460" s="18"/>
      <c r="G460" s="25">
        <f t="shared" ref="G460:I460" si="384">G459</f>
        <v>2017</v>
      </c>
      <c r="H460" s="20" t="str">
        <f t="shared" si="384"/>
        <v>adieas2017</v>
      </c>
      <c r="I460" s="20" t="str">
        <f t="shared" si="384"/>
        <v>Arquitetura da Informação e a Sintaxe das Linguagens Imagéticas no Website Guia Gay Floripa</v>
      </c>
      <c r="J460" s="20" t="str">
        <f t="shared" si="2"/>
        <v>Website Guia Gay Floripa</v>
      </c>
      <c r="K460" s="20"/>
      <c r="L460" s="20" t="str">
        <f t="shared" si="3"/>
        <v>website guia gay floripa</v>
      </c>
      <c r="M460" s="18"/>
      <c r="N460" s="21" t="str">
        <f>IFERROR(__xludf.DUMMYFUNCTION("""COMPUTED_VALUE""")," Website Guia Gay Floripa")</f>
        <v> Website Guia Gay Floripa</v>
      </c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</row>
    <row r="461">
      <c r="A461" s="22"/>
      <c r="B461" s="23"/>
      <c r="C461" s="24"/>
      <c r="D461" s="24"/>
      <c r="E461" s="18"/>
      <c r="F461" s="18"/>
      <c r="G461" s="25">
        <f t="shared" ref="G461:I461" si="385">G460</f>
        <v>2017</v>
      </c>
      <c r="H461" s="20" t="str">
        <f t="shared" si="385"/>
        <v>adieas2017</v>
      </c>
      <c r="I461" s="20" t="str">
        <f t="shared" si="385"/>
        <v>Arquitetura da Informação e a Sintaxe das Linguagens Imagéticas no Website Guia Gay Floripa</v>
      </c>
      <c r="J461" s="20" t="str">
        <f t="shared" si="2"/>
        <v>Disponibilização da informação</v>
      </c>
      <c r="K461" s="20"/>
      <c r="L461" s="20" t="str">
        <f t="shared" si="3"/>
        <v>disponibilização da informação</v>
      </c>
      <c r="M461" s="18"/>
      <c r="N461" s="21" t="str">
        <f>IFERROR(__xludf.DUMMYFUNCTION("""COMPUTED_VALUE""")," Disponibilização da informação")</f>
        <v> Disponibilização da informação</v>
      </c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</row>
    <row r="462">
      <c r="A462" s="22"/>
      <c r="B462" s="23"/>
      <c r="C462" s="24"/>
      <c r="D462" s="24"/>
      <c r="E462" s="18"/>
      <c r="F462" s="18"/>
      <c r="G462" s="25">
        <f t="shared" ref="G462:I462" si="386">G461</f>
        <v>2017</v>
      </c>
      <c r="H462" s="20" t="str">
        <f t="shared" si="386"/>
        <v>adieas2017</v>
      </c>
      <c r="I462" s="20" t="str">
        <f t="shared" si="386"/>
        <v>Arquitetura da Informação e a Sintaxe das Linguagens Imagéticas no Website Guia Gay Floripa</v>
      </c>
      <c r="J462" s="20" t="str">
        <f t="shared" si="2"/>
        <v>Uso inteligente da informação</v>
      </c>
      <c r="K462" s="20"/>
      <c r="L462" s="20" t="str">
        <f t="shared" si="3"/>
        <v>uso inteligente da informação</v>
      </c>
      <c r="M462" s="18"/>
      <c r="N462" s="21" t="str">
        <f>IFERROR(__xludf.DUMMYFUNCTION("""COMPUTED_VALUE""")," Uso inteligente da informação")</f>
        <v> Uso inteligente da informação</v>
      </c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</row>
    <row r="463">
      <c r="A463" s="8"/>
      <c r="B463" s="23"/>
      <c r="C463" s="24"/>
      <c r="D463" s="24"/>
      <c r="E463" s="18"/>
      <c r="F463" s="18"/>
      <c r="G463" s="25">
        <f t="shared" ref="G463:I463" si="387">G462</f>
        <v>2017</v>
      </c>
      <c r="H463" s="20" t="str">
        <f t="shared" si="387"/>
        <v>adieas2017</v>
      </c>
      <c r="I463" s="20" t="str">
        <f t="shared" si="387"/>
        <v>Arquitetura da Informação e a Sintaxe das Linguagens Imagéticas no Website Guia Gay Floripa</v>
      </c>
      <c r="J463" s="20" t="str">
        <f t="shared" si="2"/>
        <v/>
      </c>
      <c r="K463" s="20"/>
      <c r="L463" s="20" t="str">
        <f t="shared" si="3"/>
        <v/>
      </c>
      <c r="M463" s="18"/>
      <c r="N463" s="21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</row>
    <row r="464">
      <c r="A464" s="8" t="s">
        <v>54</v>
      </c>
      <c r="B464" s="9">
        <v>2017.0</v>
      </c>
      <c r="C464" s="10" t="s">
        <v>208</v>
      </c>
      <c r="D464" s="10" t="s">
        <v>209</v>
      </c>
      <c r="E464" s="18"/>
      <c r="F464" s="18"/>
      <c r="G464" s="12">
        <f>B464</f>
        <v>2017</v>
      </c>
      <c r="H464" s="13" t="str">
        <f>LOWER(left(O464,1)&amp;left(P464,1)&amp;left(Q464,1)&amp;left(R464,1)&amp;left(S464,1)&amp;left(T464,1))&amp;G464</f>
        <v>rdiptw2017</v>
      </c>
      <c r="I464" s="20" t="str">
        <f>trim(C464)</f>
        <v>RECUPERAÇÃO DA INFORMAÇÃO POR TÉCNICA WEBOMÉTRICA: Análise das menções web dos partidos políticos com representação no Senado Federal</v>
      </c>
      <c r="J464" s="20" t="str">
        <f t="shared" si="2"/>
        <v>Recuperação da Informação</v>
      </c>
      <c r="K464" s="20"/>
      <c r="L464" s="20" t="str">
        <f t="shared" si="3"/>
        <v>recuperação da informação</v>
      </c>
      <c r="M464" s="18"/>
      <c r="N464" s="21" t="str">
        <f>IFERROR(__xludf.DUMMYFUNCTION("TRANSPOSE(split(D464,"";"",true,true))")," Recuperação da Informação")</f>
        <v> Recuperação da Informação</v>
      </c>
      <c r="O464" s="6" t="str">
        <f>IFERROR(__xludf.DUMMYFUNCTION("split(C464,"" "")"),"RECUPERAÇÃO")</f>
        <v>RECUPERAÇÃO</v>
      </c>
      <c r="P464" s="18" t="str">
        <f>IFERROR(__xludf.DUMMYFUNCTION("""COMPUTED_VALUE"""),"DA")</f>
        <v>DA</v>
      </c>
      <c r="Q464" s="18" t="str">
        <f>IFERROR(__xludf.DUMMYFUNCTION("""COMPUTED_VALUE"""),"INFORMAÇÃO")</f>
        <v>INFORMAÇÃO</v>
      </c>
      <c r="R464" s="18" t="str">
        <f>IFERROR(__xludf.DUMMYFUNCTION("""COMPUTED_VALUE"""),"POR")</f>
        <v>POR</v>
      </c>
      <c r="S464" s="18" t="str">
        <f>IFERROR(__xludf.DUMMYFUNCTION("""COMPUTED_VALUE"""),"TÉCNICA")</f>
        <v>TÉCNICA</v>
      </c>
      <c r="T464" s="18" t="str">
        <f>IFERROR(__xludf.DUMMYFUNCTION("""COMPUTED_VALUE"""),"WEBOMÉTRICA:")</f>
        <v>WEBOMÉTRICA:</v>
      </c>
      <c r="U464" s="18" t="str">
        <f>IFERROR(__xludf.DUMMYFUNCTION("""COMPUTED_VALUE"""),"Análise")</f>
        <v>Análise</v>
      </c>
      <c r="V464" s="18" t="str">
        <f>IFERROR(__xludf.DUMMYFUNCTION("""COMPUTED_VALUE"""),"das")</f>
        <v>das</v>
      </c>
      <c r="W464" s="18" t="str">
        <f>IFERROR(__xludf.DUMMYFUNCTION("""COMPUTED_VALUE"""),"menções")</f>
        <v>menções</v>
      </c>
      <c r="X464" s="18" t="str">
        <f>IFERROR(__xludf.DUMMYFUNCTION("""COMPUTED_VALUE"""),"web")</f>
        <v>web</v>
      </c>
      <c r="Y464" s="18" t="str">
        <f>IFERROR(__xludf.DUMMYFUNCTION("""COMPUTED_VALUE"""),"dos")</f>
        <v>dos</v>
      </c>
      <c r="Z464" s="18" t="str">
        <f>IFERROR(__xludf.DUMMYFUNCTION("""COMPUTED_VALUE"""),"partidos")</f>
        <v>partidos</v>
      </c>
      <c r="AA464" s="18" t="str">
        <f>IFERROR(__xludf.DUMMYFUNCTION("""COMPUTED_VALUE"""),"políticos")</f>
        <v>políticos</v>
      </c>
      <c r="AB464" s="18" t="str">
        <f>IFERROR(__xludf.DUMMYFUNCTION("""COMPUTED_VALUE"""),"com")</f>
        <v>com</v>
      </c>
      <c r="AC464" s="18" t="str">
        <f>IFERROR(__xludf.DUMMYFUNCTION("""COMPUTED_VALUE"""),"representação")</f>
        <v>representação</v>
      </c>
      <c r="AD464" s="18" t="str">
        <f>IFERROR(__xludf.DUMMYFUNCTION("""COMPUTED_VALUE"""),"no")</f>
        <v>no</v>
      </c>
      <c r="AE464" s="18" t="str">
        <f>IFERROR(__xludf.DUMMYFUNCTION("""COMPUTED_VALUE"""),"Senado")</f>
        <v>Senado</v>
      </c>
      <c r="AF464" s="18" t="str">
        <f>IFERROR(__xludf.DUMMYFUNCTION("""COMPUTED_VALUE"""),"Federal")</f>
        <v>Federal</v>
      </c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</row>
    <row r="465">
      <c r="A465" s="22"/>
      <c r="B465" s="23"/>
      <c r="C465" s="24"/>
      <c r="D465" s="24"/>
      <c r="E465" s="18"/>
      <c r="F465" s="18"/>
      <c r="G465" s="25">
        <f t="shared" ref="G465:I465" si="388">G464</f>
        <v>2017</v>
      </c>
      <c r="H465" s="20" t="str">
        <f t="shared" si="388"/>
        <v>rdiptw2017</v>
      </c>
      <c r="I465" s="20" t="str">
        <f t="shared" si="388"/>
        <v>RECUPERAÇÃO DA INFORMAÇÃO POR TÉCNICA WEBOMÉTRICA: Análise das menções web dos partidos políticos com representação no Senado Federal</v>
      </c>
      <c r="J465" s="20" t="str">
        <f t="shared" si="2"/>
        <v>Webometria</v>
      </c>
      <c r="K465" s="20"/>
      <c r="L465" s="20" t="str">
        <f t="shared" si="3"/>
        <v>webometria</v>
      </c>
      <c r="M465" s="18"/>
      <c r="N465" s="21" t="str">
        <f>IFERROR(__xludf.DUMMYFUNCTION("""COMPUTED_VALUE""")," Webometria")</f>
        <v> Webometria</v>
      </c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</row>
    <row r="466">
      <c r="A466" s="22"/>
      <c r="B466" s="23"/>
      <c r="C466" s="24"/>
      <c r="D466" s="24"/>
      <c r="E466" s="18"/>
      <c r="F466" s="18"/>
      <c r="G466" s="25">
        <f t="shared" ref="G466:I466" si="389">G465</f>
        <v>2017</v>
      </c>
      <c r="H466" s="20" t="str">
        <f t="shared" si="389"/>
        <v>rdiptw2017</v>
      </c>
      <c r="I466" s="20" t="str">
        <f t="shared" si="389"/>
        <v>RECUPERAÇÃO DA INFORMAÇÃO POR TÉCNICA WEBOMÉTRICA: Análise das menções web dos partidos políticos com representação no Senado Federal</v>
      </c>
      <c r="J466" s="20" t="str">
        <f t="shared" si="2"/>
        <v>Menção web</v>
      </c>
      <c r="K466" s="20"/>
      <c r="L466" s="20" t="str">
        <f t="shared" si="3"/>
        <v>menção web</v>
      </c>
      <c r="M466" s="18"/>
      <c r="N466" s="21" t="str">
        <f>IFERROR(__xludf.DUMMYFUNCTION("""COMPUTED_VALUE""")," Menção web")</f>
        <v> Menção web</v>
      </c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</row>
    <row r="467">
      <c r="A467" s="22"/>
      <c r="B467" s="23"/>
      <c r="C467" s="24"/>
      <c r="D467" s="24"/>
      <c r="E467" s="18"/>
      <c r="F467" s="18"/>
      <c r="G467" s="25">
        <f t="shared" ref="G467:I467" si="390">G466</f>
        <v>2017</v>
      </c>
      <c r="H467" s="20" t="str">
        <f t="shared" si="390"/>
        <v>rdiptw2017</v>
      </c>
      <c r="I467" s="20" t="str">
        <f t="shared" si="390"/>
        <v>RECUPERAÇÃO DA INFORMAÇÃO POR TÉCNICA WEBOMÉTRICA: Análise das menções web dos partidos políticos com representação no Senado Federal</v>
      </c>
      <c r="J467" s="20" t="str">
        <f t="shared" si="2"/>
        <v>Correlação Linear</v>
      </c>
      <c r="K467" s="20"/>
      <c r="L467" s="20" t="str">
        <f t="shared" si="3"/>
        <v>correlação linear</v>
      </c>
      <c r="M467" s="18"/>
      <c r="N467" s="21" t="str">
        <f>IFERROR(__xludf.DUMMYFUNCTION("""COMPUTED_VALUE""")," Correlação Linear")</f>
        <v> Correlação Linear</v>
      </c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</row>
    <row r="468">
      <c r="A468" s="22"/>
      <c r="B468" s="23"/>
      <c r="C468" s="24"/>
      <c r="D468" s="24"/>
      <c r="E468" s="18"/>
      <c r="F468" s="18"/>
      <c r="G468" s="25">
        <f t="shared" ref="G468:I468" si="391">G467</f>
        <v>2017</v>
      </c>
      <c r="H468" s="20" t="str">
        <f t="shared" si="391"/>
        <v>rdiptw2017</v>
      </c>
      <c r="I468" s="20" t="str">
        <f t="shared" si="391"/>
        <v>RECUPERAÇÃO DA INFORMAÇÃO POR TÉCNICA WEBOMÉTRICA: Análise das menções web dos partidos políticos com representação no Senado Federal</v>
      </c>
      <c r="J468" s="20" t="str">
        <f t="shared" si="2"/>
        <v>Partidos Políticos</v>
      </c>
      <c r="K468" s="20"/>
      <c r="L468" s="20" t="str">
        <f t="shared" si="3"/>
        <v>partidos políticos</v>
      </c>
      <c r="M468" s="18"/>
      <c r="N468" s="21" t="str">
        <f>IFERROR(__xludf.DUMMYFUNCTION("""COMPUTED_VALUE""")," Partidos Políticos")</f>
        <v> Partidos Políticos</v>
      </c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</row>
    <row r="469">
      <c r="A469" s="8"/>
      <c r="B469" s="23"/>
      <c r="C469" s="24"/>
      <c r="D469" s="24"/>
      <c r="E469" s="18"/>
      <c r="F469" s="18"/>
      <c r="G469" s="25">
        <f t="shared" ref="G469:I469" si="392">G468</f>
        <v>2017</v>
      </c>
      <c r="H469" s="20" t="str">
        <f t="shared" si="392"/>
        <v>rdiptw2017</v>
      </c>
      <c r="I469" s="20" t="str">
        <f t="shared" si="392"/>
        <v>RECUPERAÇÃO DA INFORMAÇÃO POR TÉCNICA WEBOMÉTRICA: Análise das menções web dos partidos políticos com representação no Senado Federal</v>
      </c>
      <c r="J469" s="20" t="str">
        <f t="shared" si="2"/>
        <v/>
      </c>
      <c r="K469" s="20"/>
      <c r="L469" s="20" t="str">
        <f t="shared" si="3"/>
        <v/>
      </c>
      <c r="M469" s="18"/>
      <c r="N469" s="21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</row>
    <row r="470">
      <c r="A470" s="8" t="s">
        <v>54</v>
      </c>
      <c r="B470" s="9">
        <v>2021.0</v>
      </c>
      <c r="C470" s="10" t="s">
        <v>210</v>
      </c>
      <c r="D470" s="10" t="s">
        <v>211</v>
      </c>
      <c r="E470" s="18"/>
      <c r="F470" s="18"/>
      <c r="G470" s="12">
        <f>B470</f>
        <v>2021</v>
      </c>
      <c r="H470" s="13" t="str">
        <f>LOWER(left(O470,1)&amp;left(P470,1)&amp;left(Q470,1)&amp;left(R470,1)&amp;left(S470,1)&amp;left(T470,1))&amp;G470</f>
        <v>osdddm2021</v>
      </c>
      <c r="I470" s="20" t="str">
        <f>trim(C470)</f>
        <v>O silêncio dos dados diz muito, basta prestar atenção: breves experimentos sobre análise exploratória visual</v>
      </c>
      <c r="J470" s="20" t="str">
        <f t="shared" si="2"/>
        <v>Análise exploratória visual</v>
      </c>
      <c r="K470" s="20"/>
      <c r="L470" s="20" t="str">
        <f t="shared" si="3"/>
        <v>análise exploratória visual</v>
      </c>
      <c r="M470" s="18"/>
      <c r="N470" s="21" t="str">
        <f>IFERROR(__xludf.DUMMYFUNCTION("TRANSPOSE(split(D470,"";"",true,true))"),"Análise exploratória visual")</f>
        <v>Análise exploratória visual</v>
      </c>
      <c r="O470" s="6" t="str">
        <f>IFERROR(__xludf.DUMMYFUNCTION("split(C470,"" "")"),"O")</f>
        <v>O</v>
      </c>
      <c r="P470" s="18" t="str">
        <f>IFERROR(__xludf.DUMMYFUNCTION("""COMPUTED_VALUE"""),"silêncio")</f>
        <v>silêncio</v>
      </c>
      <c r="Q470" s="18" t="str">
        <f>IFERROR(__xludf.DUMMYFUNCTION("""COMPUTED_VALUE"""),"dos")</f>
        <v>dos</v>
      </c>
      <c r="R470" s="18" t="str">
        <f>IFERROR(__xludf.DUMMYFUNCTION("""COMPUTED_VALUE"""),"dados")</f>
        <v>dados</v>
      </c>
      <c r="S470" s="18" t="str">
        <f>IFERROR(__xludf.DUMMYFUNCTION("""COMPUTED_VALUE"""),"diz")</f>
        <v>diz</v>
      </c>
      <c r="T470" s="18" t="str">
        <f>IFERROR(__xludf.DUMMYFUNCTION("""COMPUTED_VALUE"""),"muito,")</f>
        <v>muito,</v>
      </c>
      <c r="U470" s="18" t="str">
        <f>IFERROR(__xludf.DUMMYFUNCTION("""COMPUTED_VALUE"""),"basta")</f>
        <v>basta</v>
      </c>
      <c r="V470" s="18" t="str">
        <f>IFERROR(__xludf.DUMMYFUNCTION("""COMPUTED_VALUE"""),"prestar")</f>
        <v>prestar</v>
      </c>
      <c r="W470" s="18" t="str">
        <f>IFERROR(__xludf.DUMMYFUNCTION("""COMPUTED_VALUE"""),"atenção:")</f>
        <v>atenção:</v>
      </c>
      <c r="X470" s="18" t="str">
        <f>IFERROR(__xludf.DUMMYFUNCTION("""COMPUTED_VALUE"""),"breves")</f>
        <v>breves</v>
      </c>
      <c r="Y470" s="18" t="str">
        <f>IFERROR(__xludf.DUMMYFUNCTION("""COMPUTED_VALUE"""),"experimentos")</f>
        <v>experimentos</v>
      </c>
      <c r="Z470" s="18" t="str">
        <f>IFERROR(__xludf.DUMMYFUNCTION("""COMPUTED_VALUE"""),"sobre")</f>
        <v>sobre</v>
      </c>
      <c r="AA470" s="18" t="str">
        <f>IFERROR(__xludf.DUMMYFUNCTION("""COMPUTED_VALUE"""),"análise")</f>
        <v>análise</v>
      </c>
      <c r="AB470" s="18" t="str">
        <f>IFERROR(__xludf.DUMMYFUNCTION("""COMPUTED_VALUE"""),"exploratória")</f>
        <v>exploratória</v>
      </c>
      <c r="AC470" s="18" t="str">
        <f>IFERROR(__xludf.DUMMYFUNCTION("""COMPUTED_VALUE"""),"visual")</f>
        <v>visual</v>
      </c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</row>
    <row r="471">
      <c r="A471" s="22"/>
      <c r="B471" s="23"/>
      <c r="C471" s="24"/>
      <c r="D471" s="24"/>
      <c r="E471" s="18"/>
      <c r="F471" s="18"/>
      <c r="G471" s="25">
        <f t="shared" ref="G471:I471" si="393">G470</f>
        <v>2021</v>
      </c>
      <c r="H471" s="20" t="str">
        <f t="shared" si="393"/>
        <v>osdddm2021</v>
      </c>
      <c r="I471" s="20" t="str">
        <f t="shared" si="393"/>
        <v>O silêncio dos dados diz muito, basta prestar atenção: breves experimentos sobre análise exploratória visual</v>
      </c>
      <c r="J471" s="20" t="str">
        <f t="shared" si="2"/>
        <v>grafos</v>
      </c>
      <c r="K471" s="20"/>
      <c r="L471" s="20" t="str">
        <f t="shared" si="3"/>
        <v>grafos</v>
      </c>
      <c r="M471" s="18"/>
      <c r="N471" s="21" t="str">
        <f>IFERROR(__xludf.DUMMYFUNCTION("""COMPUTED_VALUE""")," grafos")</f>
        <v> grafos</v>
      </c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</row>
    <row r="472">
      <c r="A472" s="22"/>
      <c r="B472" s="23"/>
      <c r="C472" s="24"/>
      <c r="D472" s="24"/>
      <c r="E472" s="18"/>
      <c r="F472" s="18"/>
      <c r="G472" s="25">
        <f t="shared" ref="G472:I472" si="394">G471</f>
        <v>2021</v>
      </c>
      <c r="H472" s="20" t="str">
        <f t="shared" si="394"/>
        <v>osdddm2021</v>
      </c>
      <c r="I472" s="20" t="str">
        <f t="shared" si="394"/>
        <v>O silêncio dos dados diz muito, basta prestar atenção: breves experimentos sobre análise exploratória visual</v>
      </c>
      <c r="J472" s="20" t="str">
        <f t="shared" si="2"/>
        <v>dados abertos</v>
      </c>
      <c r="K472" s="20"/>
      <c r="L472" s="20" t="str">
        <f t="shared" si="3"/>
        <v>dados abertos</v>
      </c>
      <c r="M472" s="18"/>
      <c r="N472" s="21" t="str">
        <f>IFERROR(__xludf.DUMMYFUNCTION("""COMPUTED_VALUE""")," dados abertos")</f>
        <v> dados abertos</v>
      </c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</row>
    <row r="473">
      <c r="A473" s="22"/>
      <c r="B473" s="23"/>
      <c r="C473" s="24"/>
      <c r="D473" s="24"/>
      <c r="E473" s="18"/>
      <c r="F473" s="18"/>
      <c r="G473" s="25">
        <f t="shared" ref="G473:I473" si="395">G472</f>
        <v>2021</v>
      </c>
      <c r="H473" s="20" t="str">
        <f t="shared" si="395"/>
        <v>osdddm2021</v>
      </c>
      <c r="I473" s="20" t="str">
        <f t="shared" si="395"/>
        <v>O silêncio dos dados diz muito, basta prestar atenção: breves experimentos sobre análise exploratória visual</v>
      </c>
      <c r="J473" s="20" t="str">
        <f t="shared" si="2"/>
        <v/>
      </c>
      <c r="K473" s="20"/>
      <c r="L473" s="20" t="str">
        <f t="shared" si="3"/>
        <v/>
      </c>
      <c r="M473" s="18"/>
      <c r="N473" s="21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</row>
    <row r="474">
      <c r="A474" s="22"/>
      <c r="B474" s="23"/>
      <c r="C474" s="24"/>
      <c r="D474" s="24"/>
      <c r="E474" s="18"/>
      <c r="F474" s="18"/>
      <c r="G474" s="25">
        <f t="shared" ref="G474:I474" si="396">G473</f>
        <v>2021</v>
      </c>
      <c r="H474" s="20" t="str">
        <f t="shared" si="396"/>
        <v>osdddm2021</v>
      </c>
      <c r="I474" s="20" t="str">
        <f t="shared" si="396"/>
        <v>O silêncio dos dados diz muito, basta prestar atenção: breves experimentos sobre análise exploratória visual</v>
      </c>
      <c r="J474" s="20" t="str">
        <f t="shared" si="2"/>
        <v/>
      </c>
      <c r="K474" s="20"/>
      <c r="L474" s="20" t="str">
        <f t="shared" si="3"/>
        <v/>
      </c>
      <c r="M474" s="18"/>
      <c r="N474" s="21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</row>
    <row r="475">
      <c r="A475" s="8"/>
      <c r="B475" s="23"/>
      <c r="C475" s="24"/>
      <c r="D475" s="24"/>
      <c r="E475" s="18"/>
      <c r="F475" s="18"/>
      <c r="G475" s="25">
        <f t="shared" ref="G475:I475" si="397">G474</f>
        <v>2021</v>
      </c>
      <c r="H475" s="20" t="str">
        <f t="shared" si="397"/>
        <v>osdddm2021</v>
      </c>
      <c r="I475" s="20" t="str">
        <f t="shared" si="397"/>
        <v>O silêncio dos dados diz muito, basta prestar atenção: breves experimentos sobre análise exploratória visual</v>
      </c>
      <c r="J475" s="20" t="str">
        <f t="shared" si="2"/>
        <v/>
      </c>
      <c r="K475" s="20"/>
      <c r="L475" s="20" t="str">
        <f t="shared" si="3"/>
        <v/>
      </c>
      <c r="M475" s="18"/>
      <c r="N475" s="21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</row>
    <row r="476">
      <c r="A476" s="8" t="s">
        <v>54</v>
      </c>
      <c r="B476" s="9">
        <v>2021.0</v>
      </c>
      <c r="C476" s="10" t="s">
        <v>212</v>
      </c>
      <c r="D476" s="10" t="s">
        <v>213</v>
      </c>
      <c r="E476" s="18"/>
      <c r="F476" s="18"/>
      <c r="G476" s="12">
        <f>B476</f>
        <v>2021</v>
      </c>
      <c r="H476" s="13" t="str">
        <f>LOWER(left(O476,1)&amp;left(P476,1)&amp;left(Q476,1)&amp;left(R476,1)&amp;left(S476,1)&amp;left(T476,1))&amp;G476</f>
        <v>tadrdi2021</v>
      </c>
      <c r="I476" s="20" t="str">
        <f>trim(C476)</f>
        <v>Triagem automatizada de relatórios de inteligência financeira</v>
      </c>
      <c r="J476" s="20" t="str">
        <f t="shared" si="2"/>
        <v>Lavagem de Dinheiro</v>
      </c>
      <c r="K476" s="20"/>
      <c r="L476" s="20" t="str">
        <f t="shared" si="3"/>
        <v>lavagem de dinheiro</v>
      </c>
      <c r="M476" s="18"/>
      <c r="N476" s="21" t="str">
        <f>IFERROR(__xludf.DUMMYFUNCTION("TRANSPOSE(split(D476,"";"",true,true))"),"Lavagem de Dinheiro")</f>
        <v>Lavagem de Dinheiro</v>
      </c>
      <c r="O476" s="6" t="str">
        <f>IFERROR(__xludf.DUMMYFUNCTION("split(C476,"" "")"),"Triagem")</f>
        <v>Triagem</v>
      </c>
      <c r="P476" s="18" t="str">
        <f>IFERROR(__xludf.DUMMYFUNCTION("""COMPUTED_VALUE"""),"automatizada")</f>
        <v>automatizada</v>
      </c>
      <c r="Q476" s="18" t="str">
        <f>IFERROR(__xludf.DUMMYFUNCTION("""COMPUTED_VALUE"""),"de")</f>
        <v>de</v>
      </c>
      <c r="R476" s="18" t="str">
        <f>IFERROR(__xludf.DUMMYFUNCTION("""COMPUTED_VALUE"""),"relatórios")</f>
        <v>relatórios</v>
      </c>
      <c r="S476" s="18" t="str">
        <f>IFERROR(__xludf.DUMMYFUNCTION("""COMPUTED_VALUE"""),"de")</f>
        <v>de</v>
      </c>
      <c r="T476" s="18" t="str">
        <f>IFERROR(__xludf.DUMMYFUNCTION("""COMPUTED_VALUE"""),"inteligência")</f>
        <v>inteligência</v>
      </c>
      <c r="U476" s="18" t="str">
        <f>IFERROR(__xludf.DUMMYFUNCTION("""COMPUTED_VALUE"""),"financeira")</f>
        <v>financeira</v>
      </c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</row>
    <row r="477">
      <c r="A477" s="22"/>
      <c r="B477" s="23"/>
      <c r="C477" s="24"/>
      <c r="D477" s="24"/>
      <c r="E477" s="18"/>
      <c r="F477" s="18"/>
      <c r="G477" s="25">
        <f t="shared" ref="G477:I477" si="398">G476</f>
        <v>2021</v>
      </c>
      <c r="H477" s="20" t="str">
        <f t="shared" si="398"/>
        <v>tadrdi2021</v>
      </c>
      <c r="I477" s="20" t="str">
        <f t="shared" si="398"/>
        <v>Triagem automatizada de relatórios de inteligência financeira</v>
      </c>
      <c r="J477" s="20" t="str">
        <f t="shared" si="2"/>
        <v>Inteligência Artificial</v>
      </c>
      <c r="K477" s="20"/>
      <c r="L477" s="20" t="str">
        <f t="shared" si="3"/>
        <v>inteligência artificial</v>
      </c>
      <c r="M477" s="18"/>
      <c r="N477" s="21" t="str">
        <f>IFERROR(__xludf.DUMMYFUNCTION("""COMPUTED_VALUE""")," Inteligência Artificial")</f>
        <v> Inteligência Artificial</v>
      </c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</row>
    <row r="478">
      <c r="A478" s="22"/>
      <c r="B478" s="23"/>
      <c r="C478" s="24"/>
      <c r="D478" s="24"/>
      <c r="E478" s="18"/>
      <c r="F478" s="18"/>
      <c r="G478" s="25">
        <f t="shared" ref="G478:I478" si="399">G477</f>
        <v>2021</v>
      </c>
      <c r="H478" s="20" t="str">
        <f t="shared" si="399"/>
        <v>tadrdi2021</v>
      </c>
      <c r="I478" s="20" t="str">
        <f t="shared" si="399"/>
        <v>Triagem automatizada de relatórios de inteligência financeira</v>
      </c>
      <c r="J478" s="20" t="str">
        <f t="shared" si="2"/>
        <v>Aprendizado de Máquina</v>
      </c>
      <c r="K478" s="20"/>
      <c r="L478" s="20" t="str">
        <f t="shared" si="3"/>
        <v>aprendizado de máquina</v>
      </c>
      <c r="M478" s="18"/>
      <c r="N478" s="21" t="str">
        <f>IFERROR(__xludf.DUMMYFUNCTION("""COMPUTED_VALUE""")," Aprendizado de Máquina")</f>
        <v> Aprendizado de Máquina</v>
      </c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</row>
    <row r="479">
      <c r="A479" s="22"/>
      <c r="B479" s="23"/>
      <c r="C479" s="24"/>
      <c r="D479" s="24"/>
      <c r="E479" s="18"/>
      <c r="F479" s="18"/>
      <c r="G479" s="25">
        <f t="shared" ref="G479:I479" si="400">G478</f>
        <v>2021</v>
      </c>
      <c r="H479" s="20" t="str">
        <f t="shared" si="400"/>
        <v>tadrdi2021</v>
      </c>
      <c r="I479" s="20" t="str">
        <f t="shared" si="400"/>
        <v>Triagem automatizada de relatórios de inteligência financeira</v>
      </c>
      <c r="J479" s="20" t="str">
        <f t="shared" si="2"/>
        <v/>
      </c>
      <c r="K479" s="20"/>
      <c r="L479" s="20" t="str">
        <f t="shared" si="3"/>
        <v/>
      </c>
      <c r="M479" s="18"/>
      <c r="N479" s="21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</row>
    <row r="480">
      <c r="A480" s="22"/>
      <c r="B480" s="23"/>
      <c r="C480" s="24"/>
      <c r="D480" s="24"/>
      <c r="E480" s="18"/>
      <c r="F480" s="18"/>
      <c r="G480" s="25">
        <f t="shared" ref="G480:I480" si="401">G479</f>
        <v>2021</v>
      </c>
      <c r="H480" s="20" t="str">
        <f t="shared" si="401"/>
        <v>tadrdi2021</v>
      </c>
      <c r="I480" s="20" t="str">
        <f t="shared" si="401"/>
        <v>Triagem automatizada de relatórios de inteligência financeira</v>
      </c>
      <c r="J480" s="20" t="str">
        <f t="shared" si="2"/>
        <v/>
      </c>
      <c r="K480" s="20"/>
      <c r="L480" s="20" t="str">
        <f t="shared" si="3"/>
        <v/>
      </c>
      <c r="M480" s="18"/>
      <c r="N480" s="21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</row>
    <row r="481">
      <c r="A481" s="8"/>
      <c r="B481" s="23"/>
      <c r="C481" s="24"/>
      <c r="D481" s="24"/>
      <c r="E481" s="18"/>
      <c r="F481" s="18"/>
      <c r="G481" s="25">
        <f t="shared" ref="G481:I481" si="402">G480</f>
        <v>2021</v>
      </c>
      <c r="H481" s="20" t="str">
        <f t="shared" si="402"/>
        <v>tadrdi2021</v>
      </c>
      <c r="I481" s="20" t="str">
        <f t="shared" si="402"/>
        <v>Triagem automatizada de relatórios de inteligência financeira</v>
      </c>
      <c r="J481" s="20" t="str">
        <f t="shared" si="2"/>
        <v/>
      </c>
      <c r="K481" s="20"/>
      <c r="L481" s="20" t="str">
        <f t="shared" si="3"/>
        <v/>
      </c>
      <c r="M481" s="18"/>
      <c r="N481" s="21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</row>
    <row r="482">
      <c r="A482" s="8" t="s">
        <v>54</v>
      </c>
      <c r="B482" s="9">
        <v>2021.0</v>
      </c>
      <c r="C482" s="10" t="s">
        <v>214</v>
      </c>
      <c r="D482" s="10" t="s">
        <v>215</v>
      </c>
      <c r="E482" s="18"/>
      <c r="F482" s="18"/>
      <c r="G482" s="12">
        <f>B482</f>
        <v>2021</v>
      </c>
      <c r="H482" s="13" t="str">
        <f>LOWER(left(O482,1)&amp;left(P482,1)&amp;left(Q482,1)&amp;left(R482,1)&amp;left(S482,1)&amp;left(T482,1))&amp;G482</f>
        <v>ceiddc2021</v>
      </c>
      <c r="I482" s="20" t="str">
        <f>trim(C482)</f>
        <v>Coleta e integração de dados científicos para análises sobre a produção científica brasileiraem periódicos de acesso aberto</v>
      </c>
      <c r="J482" s="20" t="str">
        <f t="shared" si="2"/>
        <v>Acesso Aberto</v>
      </c>
      <c r="K482" s="20"/>
      <c r="L482" s="20" t="str">
        <f t="shared" si="3"/>
        <v>acesso aberto</v>
      </c>
      <c r="M482" s="18"/>
      <c r="N482" s="21" t="str">
        <f>IFERROR(__xludf.DUMMYFUNCTION("TRANSPOSE(split(D482,"";"",true,true))"),"Acesso Aberto")</f>
        <v>Acesso Aberto</v>
      </c>
      <c r="O482" s="6" t="str">
        <f>IFERROR(__xludf.DUMMYFUNCTION("split(C482,"" "")"),"Coleta")</f>
        <v>Coleta</v>
      </c>
      <c r="P482" s="18" t="str">
        <f>IFERROR(__xludf.DUMMYFUNCTION("""COMPUTED_VALUE"""),"e")</f>
        <v>e</v>
      </c>
      <c r="Q482" s="18" t="str">
        <f>IFERROR(__xludf.DUMMYFUNCTION("""COMPUTED_VALUE"""),"integração")</f>
        <v>integração</v>
      </c>
      <c r="R482" s="18" t="str">
        <f>IFERROR(__xludf.DUMMYFUNCTION("""COMPUTED_VALUE"""),"de")</f>
        <v>de</v>
      </c>
      <c r="S482" s="18" t="str">
        <f>IFERROR(__xludf.DUMMYFUNCTION("""COMPUTED_VALUE"""),"dados")</f>
        <v>dados</v>
      </c>
      <c r="T482" s="18" t="str">
        <f>IFERROR(__xludf.DUMMYFUNCTION("""COMPUTED_VALUE"""),"científicos")</f>
        <v>científicos</v>
      </c>
      <c r="U482" s="18" t="str">
        <f>IFERROR(__xludf.DUMMYFUNCTION("""COMPUTED_VALUE"""),"para")</f>
        <v>para</v>
      </c>
      <c r="V482" s="18" t="str">
        <f>IFERROR(__xludf.DUMMYFUNCTION("""COMPUTED_VALUE"""),"análises")</f>
        <v>análises</v>
      </c>
      <c r="W482" s="18" t="str">
        <f>IFERROR(__xludf.DUMMYFUNCTION("""COMPUTED_VALUE"""),"sobre")</f>
        <v>sobre</v>
      </c>
      <c r="X482" s="18" t="str">
        <f>IFERROR(__xludf.DUMMYFUNCTION("""COMPUTED_VALUE"""),"a")</f>
        <v>a</v>
      </c>
      <c r="Y482" s="18" t="str">
        <f>IFERROR(__xludf.DUMMYFUNCTION("""COMPUTED_VALUE"""),"produção")</f>
        <v>produção</v>
      </c>
      <c r="Z482" s="18" t="str">
        <f>IFERROR(__xludf.DUMMYFUNCTION("""COMPUTED_VALUE"""),"científica")</f>
        <v>científica</v>
      </c>
      <c r="AA482" s="18" t="str">
        <f>IFERROR(__xludf.DUMMYFUNCTION("""COMPUTED_VALUE"""),"brasileiraem")</f>
        <v>brasileiraem</v>
      </c>
      <c r="AB482" s="18" t="str">
        <f>IFERROR(__xludf.DUMMYFUNCTION("""COMPUTED_VALUE"""),"periódicos")</f>
        <v>periódicos</v>
      </c>
      <c r="AC482" s="18" t="str">
        <f>IFERROR(__xludf.DUMMYFUNCTION("""COMPUTED_VALUE"""),"de")</f>
        <v>de</v>
      </c>
      <c r="AD482" s="18" t="str">
        <f>IFERROR(__xludf.DUMMYFUNCTION("""COMPUTED_VALUE"""),"acesso")</f>
        <v>acesso</v>
      </c>
      <c r="AE482" s="18" t="str">
        <f>IFERROR(__xludf.DUMMYFUNCTION("""COMPUTED_VALUE"""),"aberto")</f>
        <v>aberto</v>
      </c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</row>
    <row r="483">
      <c r="A483" s="22"/>
      <c r="B483" s="23"/>
      <c r="C483" s="24"/>
      <c r="D483" s="24"/>
      <c r="E483" s="18"/>
      <c r="F483" s="18"/>
      <c r="G483" s="25">
        <f t="shared" ref="G483:I483" si="403">G482</f>
        <v>2021</v>
      </c>
      <c r="H483" s="20" t="str">
        <f t="shared" si="403"/>
        <v>ceiddc2021</v>
      </c>
      <c r="I483" s="20" t="str">
        <f t="shared" si="403"/>
        <v>Coleta e integração de dados científicos para análises sobre a produção científica brasileiraem periódicos de acesso aberto</v>
      </c>
      <c r="J483" s="20" t="str">
        <f t="shared" si="2"/>
        <v>Plataforma Lattes</v>
      </c>
      <c r="K483" s="20"/>
      <c r="L483" s="20" t="str">
        <f t="shared" si="3"/>
        <v>plataforma lattes</v>
      </c>
      <c r="M483" s="18"/>
      <c r="N483" s="21" t="str">
        <f>IFERROR(__xludf.DUMMYFUNCTION("""COMPUTED_VALUE""")," Plataforma Lattes")</f>
        <v> Plataforma Lattes</v>
      </c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</row>
    <row r="484">
      <c r="A484" s="22"/>
      <c r="B484" s="23"/>
      <c r="C484" s="24"/>
      <c r="D484" s="24"/>
      <c r="E484" s="18"/>
      <c r="F484" s="18"/>
      <c r="G484" s="25">
        <f t="shared" ref="G484:I484" si="404">G483</f>
        <v>2021</v>
      </c>
      <c r="H484" s="20" t="str">
        <f t="shared" si="404"/>
        <v>ceiddc2021</v>
      </c>
      <c r="I484" s="20" t="str">
        <f t="shared" si="404"/>
        <v>Coleta e integração de dados científicos para análises sobre a produção científica brasileiraem periódicos de acesso aberto</v>
      </c>
      <c r="J484" s="20" t="str">
        <f t="shared" si="2"/>
        <v>Produção Científica</v>
      </c>
      <c r="K484" s="20"/>
      <c r="L484" s="20" t="str">
        <f t="shared" si="3"/>
        <v>produção científica</v>
      </c>
      <c r="M484" s="18"/>
      <c r="N484" s="21" t="str">
        <f>IFERROR(__xludf.DUMMYFUNCTION("""COMPUTED_VALUE""")," Produção Científica")</f>
        <v> Produção Científica</v>
      </c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</row>
    <row r="485">
      <c r="A485" s="22"/>
      <c r="B485" s="23"/>
      <c r="C485" s="24"/>
      <c r="D485" s="24"/>
      <c r="E485" s="18"/>
      <c r="F485" s="18"/>
      <c r="G485" s="25">
        <f t="shared" ref="G485:I485" si="405">G484</f>
        <v>2021</v>
      </c>
      <c r="H485" s="20" t="str">
        <f t="shared" si="405"/>
        <v>ceiddc2021</v>
      </c>
      <c r="I485" s="20" t="str">
        <f t="shared" si="405"/>
        <v>Coleta e integração de dados científicos para análises sobre a produção científica brasileiraem periódicos de acesso aberto</v>
      </c>
      <c r="J485" s="20" t="str">
        <f t="shared" si="2"/>
        <v/>
      </c>
      <c r="K485" s="20"/>
      <c r="L485" s="20" t="str">
        <f t="shared" si="3"/>
        <v/>
      </c>
      <c r="M485" s="18"/>
      <c r="N485" s="21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</row>
    <row r="486">
      <c r="A486" s="22"/>
      <c r="B486" s="23"/>
      <c r="C486" s="24"/>
      <c r="D486" s="24"/>
      <c r="E486" s="18"/>
      <c r="F486" s="18"/>
      <c r="G486" s="25">
        <f t="shared" ref="G486:I486" si="406">G485</f>
        <v>2021</v>
      </c>
      <c r="H486" s="20" t="str">
        <f t="shared" si="406"/>
        <v>ceiddc2021</v>
      </c>
      <c r="I486" s="20" t="str">
        <f t="shared" si="406"/>
        <v>Coleta e integração de dados científicos para análises sobre a produção científica brasileiraem periódicos de acesso aberto</v>
      </c>
      <c r="J486" s="20" t="str">
        <f t="shared" si="2"/>
        <v/>
      </c>
      <c r="K486" s="20"/>
      <c r="L486" s="20" t="str">
        <f t="shared" si="3"/>
        <v/>
      </c>
      <c r="M486" s="18"/>
      <c r="N486" s="21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</row>
    <row r="487">
      <c r="A487" s="8"/>
      <c r="B487" s="23"/>
      <c r="C487" s="24"/>
      <c r="D487" s="24"/>
      <c r="E487" s="18"/>
      <c r="F487" s="18"/>
      <c r="G487" s="25">
        <f t="shared" ref="G487:I487" si="407">G486</f>
        <v>2021</v>
      </c>
      <c r="H487" s="20" t="str">
        <f t="shared" si="407"/>
        <v>ceiddc2021</v>
      </c>
      <c r="I487" s="20" t="str">
        <f t="shared" si="407"/>
        <v>Coleta e integração de dados científicos para análises sobre a produção científica brasileiraem periódicos de acesso aberto</v>
      </c>
      <c r="J487" s="20" t="str">
        <f t="shared" si="2"/>
        <v/>
      </c>
      <c r="K487" s="20"/>
      <c r="L487" s="20" t="str">
        <f t="shared" si="3"/>
        <v/>
      </c>
      <c r="M487" s="18"/>
      <c r="N487" s="21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</row>
    <row r="488">
      <c r="A488" s="8" t="s">
        <v>54</v>
      </c>
      <c r="B488" s="9">
        <v>2021.0</v>
      </c>
      <c r="C488" s="10" t="s">
        <v>216</v>
      </c>
      <c r="D488" s="10" t="s">
        <v>217</v>
      </c>
      <c r="E488" s="18"/>
      <c r="F488" s="18"/>
      <c r="G488" s="12">
        <f>B488</f>
        <v>2021</v>
      </c>
      <c r="H488" s="13" t="str">
        <f>LOWER(left(O488,1)&amp;left(P488,1)&amp;left(Q488,1)&amp;left(R488,1)&amp;left(S488,1)&amp;left(T488,1))&amp;G488</f>
        <v>tdeagd2021</v>
      </c>
      <c r="I488" s="20" t="str">
        <f>trim(C488)</f>
        <v>Transformação digital e a gestão do conhecimento: relações na produção cientifica</v>
      </c>
      <c r="J488" s="20" t="str">
        <f t="shared" si="2"/>
        <v>Transformação Digital</v>
      </c>
      <c r="K488" s="20"/>
      <c r="L488" s="20" t="str">
        <f t="shared" si="3"/>
        <v>transformação digital</v>
      </c>
      <c r="M488" s="18"/>
      <c r="N488" s="21" t="str">
        <f>IFERROR(__xludf.DUMMYFUNCTION("TRANSPOSE(split(D488,"";"",true,true))"),"Transformação  Digital")</f>
        <v>Transformação  Digital</v>
      </c>
      <c r="O488" s="6" t="str">
        <f>IFERROR(__xludf.DUMMYFUNCTION("split(C488,"" "")"),"Transformação")</f>
        <v>Transformação</v>
      </c>
      <c r="P488" s="18" t="str">
        <f>IFERROR(__xludf.DUMMYFUNCTION("""COMPUTED_VALUE"""),"digital")</f>
        <v>digital</v>
      </c>
      <c r="Q488" s="18" t="str">
        <f>IFERROR(__xludf.DUMMYFUNCTION("""COMPUTED_VALUE"""),"e")</f>
        <v>e</v>
      </c>
      <c r="R488" s="18" t="str">
        <f>IFERROR(__xludf.DUMMYFUNCTION("""COMPUTED_VALUE"""),"a")</f>
        <v>a</v>
      </c>
      <c r="S488" s="18" t="str">
        <f>IFERROR(__xludf.DUMMYFUNCTION("""COMPUTED_VALUE"""),"gestão")</f>
        <v>gestão</v>
      </c>
      <c r="T488" s="18" t="str">
        <f>IFERROR(__xludf.DUMMYFUNCTION("""COMPUTED_VALUE"""),"do")</f>
        <v>do</v>
      </c>
      <c r="U488" s="18" t="str">
        <f>IFERROR(__xludf.DUMMYFUNCTION("""COMPUTED_VALUE"""),"conhecimento:")</f>
        <v>conhecimento:</v>
      </c>
      <c r="V488" s="18" t="str">
        <f>IFERROR(__xludf.DUMMYFUNCTION("""COMPUTED_VALUE"""),"relações")</f>
        <v>relações</v>
      </c>
      <c r="W488" s="18" t="str">
        <f>IFERROR(__xludf.DUMMYFUNCTION("""COMPUTED_VALUE"""),"na")</f>
        <v>na</v>
      </c>
      <c r="X488" s="18" t="str">
        <f>IFERROR(__xludf.DUMMYFUNCTION("""COMPUTED_VALUE"""),"produção")</f>
        <v>produção</v>
      </c>
      <c r="Y488" s="18" t="str">
        <f>IFERROR(__xludf.DUMMYFUNCTION("""COMPUTED_VALUE"""),"cientifica")</f>
        <v>cientifica</v>
      </c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</row>
    <row r="489">
      <c r="A489" s="22"/>
      <c r="B489" s="23"/>
      <c r="C489" s="24"/>
      <c r="D489" s="24"/>
      <c r="E489" s="18"/>
      <c r="F489" s="18"/>
      <c r="G489" s="25">
        <f t="shared" ref="G489:I489" si="408">G488</f>
        <v>2021</v>
      </c>
      <c r="H489" s="20" t="str">
        <f t="shared" si="408"/>
        <v>tdeagd2021</v>
      </c>
      <c r="I489" s="20" t="str">
        <f t="shared" si="408"/>
        <v>Transformação digital e a gestão do conhecimento: relações na produção cientifica</v>
      </c>
      <c r="J489" s="20" t="str">
        <f t="shared" si="2"/>
        <v>Gestão do Conhecimento</v>
      </c>
      <c r="K489" s="20"/>
      <c r="L489" s="20" t="str">
        <f t="shared" si="3"/>
        <v>gestão do conhecimento</v>
      </c>
      <c r="M489" s="18"/>
      <c r="N489" s="21" t="str">
        <f>IFERROR(__xludf.DUMMYFUNCTION("""COMPUTED_VALUE"""),"  Gestão  do  Conhecimento")</f>
        <v>  Gestão  do  Conhecimento</v>
      </c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</row>
    <row r="490">
      <c r="A490" s="22"/>
      <c r="B490" s="23"/>
      <c r="C490" s="24"/>
      <c r="D490" s="24"/>
      <c r="E490" s="18"/>
      <c r="F490" s="18"/>
      <c r="G490" s="25">
        <f t="shared" ref="G490:I490" si="409">G489</f>
        <v>2021</v>
      </c>
      <c r="H490" s="20" t="str">
        <f t="shared" si="409"/>
        <v>tdeagd2021</v>
      </c>
      <c r="I490" s="20" t="str">
        <f t="shared" si="409"/>
        <v>Transformação digital e a gestão do conhecimento: relações na produção cientifica</v>
      </c>
      <c r="J490" s="20" t="str">
        <f t="shared" si="2"/>
        <v>Informetria</v>
      </c>
      <c r="K490" s="20"/>
      <c r="L490" s="20" t="str">
        <f t="shared" si="3"/>
        <v>informetria</v>
      </c>
      <c r="M490" s="18"/>
      <c r="N490" s="21" t="str">
        <f>IFERROR(__xludf.DUMMYFUNCTION("""COMPUTED_VALUE"""),"  Informetria")</f>
        <v>  Informetria</v>
      </c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</row>
    <row r="491">
      <c r="A491" s="22"/>
      <c r="B491" s="23"/>
      <c r="C491" s="24"/>
      <c r="D491" s="24"/>
      <c r="E491" s="18"/>
      <c r="F491" s="18"/>
      <c r="G491" s="25">
        <f t="shared" ref="G491:I491" si="410">G490</f>
        <v>2021</v>
      </c>
      <c r="H491" s="20" t="str">
        <f t="shared" si="410"/>
        <v>tdeagd2021</v>
      </c>
      <c r="I491" s="20" t="str">
        <f t="shared" si="410"/>
        <v>Transformação digital e a gestão do conhecimento: relações na produção cientifica</v>
      </c>
      <c r="J491" s="20" t="str">
        <f t="shared" si="2"/>
        <v>In-dústria 4.0</v>
      </c>
      <c r="K491" s="20"/>
      <c r="L491" s="20" t="str">
        <f t="shared" si="3"/>
        <v>in-dústria 4.0</v>
      </c>
      <c r="M491" s="18"/>
      <c r="N491" s="21" t="str">
        <f>IFERROR(__xludf.DUMMYFUNCTION("""COMPUTED_VALUE"""),"  In-dústria 4.0")</f>
        <v>  In-dústria 4.0</v>
      </c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</row>
    <row r="492">
      <c r="A492" s="22"/>
      <c r="B492" s="23"/>
      <c r="C492" s="24"/>
      <c r="D492" s="24"/>
      <c r="E492" s="18"/>
      <c r="F492" s="18"/>
      <c r="G492" s="25">
        <f t="shared" ref="G492:I492" si="411">G491</f>
        <v>2021</v>
      </c>
      <c r="H492" s="20" t="str">
        <f t="shared" si="411"/>
        <v>tdeagd2021</v>
      </c>
      <c r="I492" s="20" t="str">
        <f t="shared" si="411"/>
        <v>Transformação digital e a gestão do conhecimento: relações na produção cientifica</v>
      </c>
      <c r="J492" s="20" t="str">
        <f t="shared" si="2"/>
        <v/>
      </c>
      <c r="K492" s="20"/>
      <c r="L492" s="20" t="str">
        <f t="shared" si="3"/>
        <v/>
      </c>
      <c r="M492" s="18"/>
      <c r="N492" s="21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</row>
    <row r="493">
      <c r="A493" s="8"/>
      <c r="B493" s="23"/>
      <c r="C493" s="24"/>
      <c r="D493" s="24"/>
      <c r="E493" s="18"/>
      <c r="F493" s="18"/>
      <c r="G493" s="25">
        <f t="shared" ref="G493:I493" si="412">G492</f>
        <v>2021</v>
      </c>
      <c r="H493" s="20" t="str">
        <f t="shared" si="412"/>
        <v>tdeagd2021</v>
      </c>
      <c r="I493" s="20" t="str">
        <f t="shared" si="412"/>
        <v>Transformação digital e a gestão do conhecimento: relações na produção cientifica</v>
      </c>
      <c r="J493" s="20" t="str">
        <f t="shared" si="2"/>
        <v/>
      </c>
      <c r="K493" s="20"/>
      <c r="L493" s="20" t="str">
        <f t="shared" si="3"/>
        <v/>
      </c>
      <c r="M493" s="18"/>
      <c r="N493" s="21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</row>
    <row r="494">
      <c r="A494" s="8" t="s">
        <v>54</v>
      </c>
      <c r="B494" s="9">
        <v>2021.0</v>
      </c>
      <c r="C494" s="10" t="s">
        <v>218</v>
      </c>
      <c r="D494" s="10" t="s">
        <v>219</v>
      </c>
      <c r="E494" s="18"/>
      <c r="F494" s="18"/>
      <c r="G494" s="12">
        <f>B494</f>
        <v>2021</v>
      </c>
      <c r="H494" s="13" t="str">
        <f>LOWER(left(O494,1)&amp;left(P494,1)&amp;left(Q494,1)&amp;left(R494,1)&amp;left(S494,1)&amp;left(T494,1))&amp;G494</f>
        <v>ddfacf2021</v>
      </c>
      <c r="I494" s="20" t="str">
        <f>trim(C494)</f>
        <v>Dados de formação acadêmica como fonte para análises do processo de migração para capacitação</v>
      </c>
      <c r="J494" s="20" t="str">
        <f t="shared" si="2"/>
        <v>plataforma lattes</v>
      </c>
      <c r="K494" s="20"/>
      <c r="L494" s="20" t="str">
        <f t="shared" si="3"/>
        <v>plataforma lattes</v>
      </c>
      <c r="M494" s="18"/>
      <c r="N494" s="21" t="str">
        <f>IFERROR(__xludf.DUMMYFUNCTION("TRANSPOSE(split(D494,"";"",true,true))"),"plataforma lattes")</f>
        <v>plataforma lattes</v>
      </c>
      <c r="O494" s="6" t="str">
        <f>IFERROR(__xludf.DUMMYFUNCTION("split(C494,"" "")"),"Dados")</f>
        <v>Dados</v>
      </c>
      <c r="P494" s="18" t="str">
        <f>IFERROR(__xludf.DUMMYFUNCTION("""COMPUTED_VALUE"""),"de")</f>
        <v>de</v>
      </c>
      <c r="Q494" s="18" t="str">
        <f>IFERROR(__xludf.DUMMYFUNCTION("""COMPUTED_VALUE"""),"formação")</f>
        <v>formação</v>
      </c>
      <c r="R494" s="18" t="str">
        <f>IFERROR(__xludf.DUMMYFUNCTION("""COMPUTED_VALUE"""),"acadêmica")</f>
        <v>acadêmica</v>
      </c>
      <c r="S494" s="18" t="str">
        <f>IFERROR(__xludf.DUMMYFUNCTION("""COMPUTED_VALUE"""),"como")</f>
        <v>como</v>
      </c>
      <c r="T494" s="18" t="str">
        <f>IFERROR(__xludf.DUMMYFUNCTION("""COMPUTED_VALUE"""),"fonte")</f>
        <v>fonte</v>
      </c>
      <c r="U494" s="18" t="str">
        <f>IFERROR(__xludf.DUMMYFUNCTION("""COMPUTED_VALUE"""),"para")</f>
        <v>para</v>
      </c>
      <c r="V494" s="18" t="str">
        <f>IFERROR(__xludf.DUMMYFUNCTION("""COMPUTED_VALUE"""),"análises")</f>
        <v>análises</v>
      </c>
      <c r="W494" s="18" t="str">
        <f>IFERROR(__xludf.DUMMYFUNCTION("""COMPUTED_VALUE"""),"do")</f>
        <v>do</v>
      </c>
      <c r="X494" s="18" t="str">
        <f>IFERROR(__xludf.DUMMYFUNCTION("""COMPUTED_VALUE"""),"processo")</f>
        <v>processo</v>
      </c>
      <c r="Y494" s="18" t="str">
        <f>IFERROR(__xludf.DUMMYFUNCTION("""COMPUTED_VALUE"""),"de")</f>
        <v>de</v>
      </c>
      <c r="Z494" s="18" t="str">
        <f>IFERROR(__xludf.DUMMYFUNCTION("""COMPUTED_VALUE"""),"migração")</f>
        <v>migração</v>
      </c>
      <c r="AA494" s="18" t="str">
        <f>IFERROR(__xludf.DUMMYFUNCTION("""COMPUTED_VALUE"""),"para")</f>
        <v>para</v>
      </c>
      <c r="AB494" s="18" t="str">
        <f>IFERROR(__xludf.DUMMYFUNCTION("""COMPUTED_VALUE"""),"capacitação")</f>
        <v>capacitação</v>
      </c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</row>
    <row r="495">
      <c r="A495" s="22"/>
      <c r="B495" s="23"/>
      <c r="C495" s="24"/>
      <c r="D495" s="24"/>
      <c r="E495" s="18"/>
      <c r="F495" s="18"/>
      <c r="G495" s="25">
        <f t="shared" ref="G495:I495" si="413">G494</f>
        <v>2021</v>
      </c>
      <c r="H495" s="20" t="str">
        <f t="shared" si="413"/>
        <v>ddfacf2021</v>
      </c>
      <c r="I495" s="20" t="str">
        <f t="shared" si="413"/>
        <v>Dados de formação acadêmica como fonte para análises do processo de migração para capacitação</v>
      </c>
      <c r="J495" s="20" t="str">
        <f t="shared" si="2"/>
        <v>êxodo científico brasileiro</v>
      </c>
      <c r="K495" s="20"/>
      <c r="L495" s="20" t="str">
        <f t="shared" si="3"/>
        <v>êxodo científico brasileiro</v>
      </c>
      <c r="M495" s="18"/>
      <c r="N495" s="21" t="str">
        <f>IFERROR(__xludf.DUMMYFUNCTION("""COMPUTED_VALUE""")," êxodo científico brasileiro")</f>
        <v> êxodo científico brasileiro</v>
      </c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</row>
    <row r="496">
      <c r="A496" s="22"/>
      <c r="B496" s="23"/>
      <c r="C496" s="24"/>
      <c r="D496" s="24"/>
      <c r="E496" s="18"/>
      <c r="F496" s="18"/>
      <c r="G496" s="25">
        <f t="shared" ref="G496:I496" si="414">G495</f>
        <v>2021</v>
      </c>
      <c r="H496" s="20" t="str">
        <f t="shared" si="414"/>
        <v>ddfacf2021</v>
      </c>
      <c r="I496" s="20" t="str">
        <f t="shared" si="414"/>
        <v>Dados de formação acadêmica como fonte para análises do processo de migração para capacitação</v>
      </c>
      <c r="J496" s="20" t="str">
        <f t="shared" si="2"/>
        <v>análise de dados</v>
      </c>
      <c r="K496" s="20"/>
      <c r="L496" s="20" t="str">
        <f t="shared" si="3"/>
        <v>análise de dados</v>
      </c>
      <c r="M496" s="18"/>
      <c r="N496" s="21" t="str">
        <f>IFERROR(__xludf.DUMMYFUNCTION("""COMPUTED_VALUE""")," análise de dados")</f>
        <v> análise de dados</v>
      </c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</row>
    <row r="497">
      <c r="A497" s="22"/>
      <c r="B497" s="23"/>
      <c r="C497" s="24"/>
      <c r="D497" s="24"/>
      <c r="E497" s="18"/>
      <c r="F497" s="18"/>
      <c r="G497" s="25">
        <f t="shared" ref="G497:I497" si="415">G496</f>
        <v>2021</v>
      </c>
      <c r="H497" s="20" t="str">
        <f t="shared" si="415"/>
        <v>ddfacf2021</v>
      </c>
      <c r="I497" s="20" t="str">
        <f t="shared" si="415"/>
        <v>Dados de formação acadêmica como fonte para análises do processo de migração para capacitação</v>
      </c>
      <c r="J497" s="20" t="str">
        <f t="shared" si="2"/>
        <v/>
      </c>
      <c r="K497" s="20"/>
      <c r="L497" s="20" t="str">
        <f t="shared" si="3"/>
        <v/>
      </c>
      <c r="M497" s="18"/>
      <c r="N497" s="21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</row>
    <row r="498">
      <c r="A498" s="22"/>
      <c r="B498" s="23"/>
      <c r="C498" s="24"/>
      <c r="D498" s="24"/>
      <c r="E498" s="18"/>
      <c r="F498" s="18"/>
      <c r="G498" s="25">
        <f t="shared" ref="G498:I498" si="416">G497</f>
        <v>2021</v>
      </c>
      <c r="H498" s="20" t="str">
        <f t="shared" si="416"/>
        <v>ddfacf2021</v>
      </c>
      <c r="I498" s="20" t="str">
        <f t="shared" si="416"/>
        <v>Dados de formação acadêmica como fonte para análises do processo de migração para capacitação</v>
      </c>
      <c r="J498" s="20" t="str">
        <f t="shared" si="2"/>
        <v/>
      </c>
      <c r="K498" s="20"/>
      <c r="L498" s="20" t="str">
        <f t="shared" si="3"/>
        <v/>
      </c>
      <c r="M498" s="18"/>
      <c r="N498" s="21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</row>
    <row r="499">
      <c r="A499" s="8"/>
      <c r="B499" s="23"/>
      <c r="C499" s="24"/>
      <c r="D499" s="24"/>
      <c r="E499" s="18"/>
      <c r="F499" s="18"/>
      <c r="G499" s="25">
        <f t="shared" ref="G499:I499" si="417">G498</f>
        <v>2021</v>
      </c>
      <c r="H499" s="20" t="str">
        <f t="shared" si="417"/>
        <v>ddfacf2021</v>
      </c>
      <c r="I499" s="20" t="str">
        <f t="shared" si="417"/>
        <v>Dados de formação acadêmica como fonte para análises do processo de migração para capacitação</v>
      </c>
      <c r="J499" s="20" t="str">
        <f t="shared" si="2"/>
        <v/>
      </c>
      <c r="K499" s="20"/>
      <c r="L499" s="20" t="str">
        <f t="shared" si="3"/>
        <v/>
      </c>
      <c r="M499" s="18"/>
      <c r="N499" s="21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</row>
    <row r="500">
      <c r="A500" s="8" t="s">
        <v>54</v>
      </c>
      <c r="B500" s="9">
        <v>2021.0</v>
      </c>
      <c r="C500" s="10" t="s">
        <v>220</v>
      </c>
      <c r="D500" s="10" t="s">
        <v>221</v>
      </c>
      <c r="E500" s="18"/>
      <c r="F500" s="18"/>
      <c r="G500" s="12">
        <f>B500</f>
        <v>2021</v>
      </c>
      <c r="H500" s="13" t="str">
        <f>LOWER(left(O500,1)&amp;left(P500,1)&amp;left(Q500,1)&amp;left(R500,1)&amp;left(S500,1)&amp;left(T500,1))&amp;G500</f>
        <v>eddema2021</v>
      </c>
      <c r="I500" s="20" t="str">
        <f>trim(C500)</f>
        <v>Extração de datasets em marketplacesde anúncios: experiências com Facebook,Olx e Mercadolivre</v>
      </c>
      <c r="J500" s="20" t="str">
        <f t="shared" si="2"/>
        <v>Datasets</v>
      </c>
      <c r="K500" s="20"/>
      <c r="L500" s="20" t="str">
        <f t="shared" si="3"/>
        <v>datasets</v>
      </c>
      <c r="M500" s="18"/>
      <c r="N500" s="21" t="str">
        <f>IFERROR(__xludf.DUMMYFUNCTION("TRANSPOSE(split(D500,"";"",true,true))"),"Datasets")</f>
        <v>Datasets</v>
      </c>
      <c r="O500" s="6" t="str">
        <f>IFERROR(__xludf.DUMMYFUNCTION("split(C500,"" "")"),"Extração")</f>
        <v>Extração</v>
      </c>
      <c r="P500" s="18" t="str">
        <f>IFERROR(__xludf.DUMMYFUNCTION("""COMPUTED_VALUE"""),"de")</f>
        <v>de</v>
      </c>
      <c r="Q500" s="18" t="str">
        <f>IFERROR(__xludf.DUMMYFUNCTION("""COMPUTED_VALUE"""),"datasets")</f>
        <v>datasets</v>
      </c>
      <c r="R500" s="18" t="str">
        <f>IFERROR(__xludf.DUMMYFUNCTION("""COMPUTED_VALUE"""),"em")</f>
        <v>em</v>
      </c>
      <c r="S500" s="18" t="str">
        <f>IFERROR(__xludf.DUMMYFUNCTION("""COMPUTED_VALUE"""),"marketplacesde")</f>
        <v>marketplacesde</v>
      </c>
      <c r="T500" s="18" t="str">
        <f>IFERROR(__xludf.DUMMYFUNCTION("""COMPUTED_VALUE"""),"anúncios:")</f>
        <v>anúncios:</v>
      </c>
      <c r="U500" s="18" t="str">
        <f>IFERROR(__xludf.DUMMYFUNCTION("""COMPUTED_VALUE"""),"experiências")</f>
        <v>experiências</v>
      </c>
      <c r="V500" s="18" t="str">
        <f>IFERROR(__xludf.DUMMYFUNCTION("""COMPUTED_VALUE"""),"com")</f>
        <v>com</v>
      </c>
      <c r="W500" s="18" t="str">
        <f>IFERROR(__xludf.DUMMYFUNCTION("""COMPUTED_VALUE"""),"Facebook,Olx")</f>
        <v>Facebook,Olx</v>
      </c>
      <c r="X500" s="18" t="str">
        <f>IFERROR(__xludf.DUMMYFUNCTION("""COMPUTED_VALUE"""),"e")</f>
        <v>e</v>
      </c>
      <c r="Y500" s="18" t="str">
        <f>IFERROR(__xludf.DUMMYFUNCTION("""COMPUTED_VALUE"""),"Mercadolivre")</f>
        <v>Mercadolivre</v>
      </c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</row>
    <row r="501">
      <c r="A501" s="8"/>
      <c r="B501" s="23"/>
      <c r="C501" s="24"/>
      <c r="D501" s="24"/>
      <c r="E501" s="18"/>
      <c r="F501" s="18"/>
      <c r="G501" s="25">
        <f t="shared" ref="G501:I501" si="418">G500</f>
        <v>2021</v>
      </c>
      <c r="H501" s="20" t="str">
        <f t="shared" si="418"/>
        <v>eddema2021</v>
      </c>
      <c r="I501" s="20" t="str">
        <f t="shared" si="418"/>
        <v>Extração de datasets em marketplacesde anúncios: experiências com Facebook,Olx e Mercadolivre</v>
      </c>
      <c r="J501" s="20" t="str">
        <f t="shared" si="2"/>
        <v>Python</v>
      </c>
      <c r="K501" s="20"/>
      <c r="L501" s="20" t="str">
        <f t="shared" si="3"/>
        <v>python</v>
      </c>
      <c r="M501" s="18"/>
      <c r="N501" s="21" t="str">
        <f>IFERROR(__xludf.DUMMYFUNCTION("""COMPUTED_VALUE""")," Python")</f>
        <v> Python</v>
      </c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</row>
    <row r="502">
      <c r="A502" s="8"/>
      <c r="B502" s="23"/>
      <c r="C502" s="24"/>
      <c r="D502" s="24"/>
      <c r="E502" s="18"/>
      <c r="F502" s="18"/>
      <c r="G502" s="25">
        <f t="shared" ref="G502:I502" si="419">G501</f>
        <v>2021</v>
      </c>
      <c r="H502" s="20" t="str">
        <f t="shared" si="419"/>
        <v>eddema2021</v>
      </c>
      <c r="I502" s="20" t="str">
        <f t="shared" si="419"/>
        <v>Extração de datasets em marketplacesde anúncios: experiências com Facebook,Olx e Mercadolivre</v>
      </c>
      <c r="J502" s="20" t="str">
        <f t="shared" si="2"/>
        <v>Ecommerce</v>
      </c>
      <c r="K502" s="20"/>
      <c r="L502" s="20" t="str">
        <f t="shared" si="3"/>
        <v>ecommerce</v>
      </c>
      <c r="M502" s="18"/>
      <c r="N502" s="21" t="str">
        <f>IFERROR(__xludf.DUMMYFUNCTION("""COMPUTED_VALUE""")," Ecommerce")</f>
        <v> Ecommerce</v>
      </c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</row>
    <row r="503">
      <c r="A503" s="8"/>
      <c r="B503" s="23"/>
      <c r="C503" s="24"/>
      <c r="D503" s="24"/>
      <c r="E503" s="18"/>
      <c r="F503" s="18"/>
      <c r="G503" s="25">
        <f t="shared" ref="G503:I503" si="420">G502</f>
        <v>2021</v>
      </c>
      <c r="H503" s="20" t="str">
        <f t="shared" si="420"/>
        <v>eddema2021</v>
      </c>
      <c r="I503" s="20" t="str">
        <f t="shared" si="420"/>
        <v>Extração de datasets em marketplacesde anúncios: experiências com Facebook,Olx e Mercadolivre</v>
      </c>
      <c r="J503" s="20" t="str">
        <f t="shared" si="2"/>
        <v>Marketplaces</v>
      </c>
      <c r="K503" s="20"/>
      <c r="L503" s="20" t="str">
        <f t="shared" si="3"/>
        <v>marketplaces</v>
      </c>
      <c r="M503" s="18"/>
      <c r="N503" s="21" t="str">
        <f>IFERROR(__xludf.DUMMYFUNCTION("""COMPUTED_VALUE""")," Marketplaces")</f>
        <v> Marketplaces</v>
      </c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</row>
    <row r="504">
      <c r="A504" s="8"/>
      <c r="B504" s="23"/>
      <c r="C504" s="24"/>
      <c r="D504" s="24"/>
      <c r="E504" s="18"/>
      <c r="F504" s="18"/>
      <c r="G504" s="25">
        <f t="shared" ref="G504:I504" si="421">G503</f>
        <v>2021</v>
      </c>
      <c r="H504" s="20" t="str">
        <f t="shared" si="421"/>
        <v>eddema2021</v>
      </c>
      <c r="I504" s="20" t="str">
        <f t="shared" si="421"/>
        <v>Extração de datasets em marketplacesde anúncios: experiências com Facebook,Olx e Mercadolivre</v>
      </c>
      <c r="J504" s="20" t="str">
        <f t="shared" si="2"/>
        <v>Anúncios</v>
      </c>
      <c r="K504" s="20"/>
      <c r="L504" s="20" t="str">
        <f t="shared" si="3"/>
        <v>anúncios</v>
      </c>
      <c r="M504" s="18"/>
      <c r="N504" s="21" t="str">
        <f>IFERROR(__xludf.DUMMYFUNCTION("""COMPUTED_VALUE""")," Anúncios")</f>
        <v> Anúncios</v>
      </c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</row>
    <row r="505">
      <c r="A505" s="8"/>
      <c r="B505" s="23"/>
      <c r="C505" s="24"/>
      <c r="D505" s="24"/>
      <c r="E505" s="18"/>
      <c r="F505" s="18"/>
      <c r="G505" s="25">
        <f t="shared" ref="G505:I505" si="422">G504</f>
        <v>2021</v>
      </c>
      <c r="H505" s="20" t="str">
        <f t="shared" si="422"/>
        <v>eddema2021</v>
      </c>
      <c r="I505" s="20" t="str">
        <f t="shared" si="422"/>
        <v>Extração de datasets em marketplacesde anúncios: experiências com Facebook,Olx e Mercadolivre</v>
      </c>
      <c r="J505" s="20" t="str">
        <f t="shared" si="2"/>
        <v/>
      </c>
      <c r="K505" s="20"/>
      <c r="L505" s="20" t="str">
        <f t="shared" si="3"/>
        <v/>
      </c>
      <c r="M505" s="18"/>
      <c r="N505" s="21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</row>
    <row r="506">
      <c r="A506" s="8" t="s">
        <v>54</v>
      </c>
      <c r="B506" s="9">
        <v>2021.0</v>
      </c>
      <c r="C506" s="10" t="s">
        <v>222</v>
      </c>
      <c r="D506" s="10" t="s">
        <v>223</v>
      </c>
      <c r="E506" s="18"/>
      <c r="F506" s="18"/>
      <c r="G506" s="12">
        <f>B506</f>
        <v>2021</v>
      </c>
      <c r="H506" s="13" t="str">
        <f>LOWER(left(O506,1)&amp;left(P506,1)&amp;left(Q506,1)&amp;left(R506,1)&amp;left(S506,1)&amp;left(T506,1))&amp;G506</f>
        <v>uppaie2021</v>
      </c>
      <c r="I506" s="20" t="str">
        <f>trim(C506)</f>
        <v>Um processo para a identificação e análisesde artigos científicos em anais de congressos</v>
      </c>
      <c r="J506" s="20" t="str">
        <f t="shared" si="2"/>
        <v>produção científica</v>
      </c>
      <c r="K506" s="20"/>
      <c r="L506" s="20" t="str">
        <f t="shared" si="3"/>
        <v>produção científica</v>
      </c>
      <c r="M506" s="18"/>
      <c r="N506" s="21" t="str">
        <f>IFERROR(__xludf.DUMMYFUNCTION("TRANSPOSE(split(D506,"";"",true,true))")," produção científica")</f>
        <v> produção científica</v>
      </c>
      <c r="O506" s="6" t="str">
        <f>IFERROR(__xludf.DUMMYFUNCTION("split(C506,"" "")"),"Um")</f>
        <v>Um</v>
      </c>
      <c r="P506" s="18" t="str">
        <f>IFERROR(__xludf.DUMMYFUNCTION("""COMPUTED_VALUE"""),"processo")</f>
        <v>processo</v>
      </c>
      <c r="Q506" s="18" t="str">
        <f>IFERROR(__xludf.DUMMYFUNCTION("""COMPUTED_VALUE"""),"para")</f>
        <v>para</v>
      </c>
      <c r="R506" s="18" t="str">
        <f>IFERROR(__xludf.DUMMYFUNCTION("""COMPUTED_VALUE"""),"a")</f>
        <v>a</v>
      </c>
      <c r="S506" s="18" t="str">
        <f>IFERROR(__xludf.DUMMYFUNCTION("""COMPUTED_VALUE"""),"identificação")</f>
        <v>identificação</v>
      </c>
      <c r="T506" s="18" t="str">
        <f>IFERROR(__xludf.DUMMYFUNCTION("""COMPUTED_VALUE"""),"e")</f>
        <v>e</v>
      </c>
      <c r="U506" s="18" t="str">
        <f>IFERROR(__xludf.DUMMYFUNCTION("""COMPUTED_VALUE"""),"análisesde")</f>
        <v>análisesde</v>
      </c>
      <c r="V506" s="18" t="str">
        <f>IFERROR(__xludf.DUMMYFUNCTION("""COMPUTED_VALUE"""),"artigos")</f>
        <v>artigos</v>
      </c>
      <c r="W506" s="18" t="str">
        <f>IFERROR(__xludf.DUMMYFUNCTION("""COMPUTED_VALUE"""),"científicos")</f>
        <v>científicos</v>
      </c>
      <c r="X506" s="18" t="str">
        <f>IFERROR(__xludf.DUMMYFUNCTION("""COMPUTED_VALUE"""),"em")</f>
        <v>em</v>
      </c>
      <c r="Y506" s="18" t="str">
        <f>IFERROR(__xludf.DUMMYFUNCTION("""COMPUTED_VALUE"""),"anais")</f>
        <v>anais</v>
      </c>
      <c r="Z506" s="18" t="str">
        <f>IFERROR(__xludf.DUMMYFUNCTION("""COMPUTED_VALUE"""),"de")</f>
        <v>de</v>
      </c>
      <c r="AA506" s="18" t="str">
        <f>IFERROR(__xludf.DUMMYFUNCTION("""COMPUTED_VALUE"""),"congressos")</f>
        <v>congressos</v>
      </c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</row>
    <row r="507">
      <c r="A507" s="22"/>
      <c r="B507" s="23"/>
      <c r="C507" s="24"/>
      <c r="D507" s="24"/>
      <c r="E507" s="18"/>
      <c r="F507" s="18"/>
      <c r="G507" s="25">
        <f t="shared" ref="G507:I507" si="423">G506</f>
        <v>2021</v>
      </c>
      <c r="H507" s="20" t="str">
        <f t="shared" si="423"/>
        <v>uppaie2021</v>
      </c>
      <c r="I507" s="20" t="str">
        <f t="shared" si="423"/>
        <v>Um processo para a identificação e análisesde artigos científicos em anais de congressos</v>
      </c>
      <c r="J507" s="20" t="str">
        <f t="shared" si="2"/>
        <v>eventos</v>
      </c>
      <c r="K507" s="20"/>
      <c r="L507" s="20" t="str">
        <f t="shared" si="3"/>
        <v>eventos</v>
      </c>
      <c r="M507" s="18"/>
      <c r="N507" s="21" t="str">
        <f>IFERROR(__xludf.DUMMYFUNCTION("""COMPUTED_VALUE""")," eventos")</f>
        <v> eventos</v>
      </c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</row>
    <row r="508">
      <c r="A508" s="22"/>
      <c r="B508" s="23"/>
      <c r="C508" s="24"/>
      <c r="D508" s="24"/>
      <c r="E508" s="18"/>
      <c r="F508" s="18"/>
      <c r="G508" s="25">
        <f t="shared" ref="G508:I508" si="424">G507</f>
        <v>2021</v>
      </c>
      <c r="H508" s="20" t="str">
        <f t="shared" si="424"/>
        <v>uppaie2021</v>
      </c>
      <c r="I508" s="20" t="str">
        <f t="shared" si="424"/>
        <v>Um processo para a identificação e análisesde artigos científicos em anais de congressos</v>
      </c>
      <c r="J508" s="20" t="str">
        <f t="shared" si="2"/>
        <v>anais</v>
      </c>
      <c r="K508" s="20"/>
      <c r="L508" s="20" t="str">
        <f t="shared" si="3"/>
        <v>anais</v>
      </c>
      <c r="M508" s="18"/>
      <c r="N508" s="21" t="str">
        <f>IFERROR(__xludf.DUMMYFUNCTION("""COMPUTED_VALUE""")," anais")</f>
        <v> anais</v>
      </c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</row>
    <row r="509">
      <c r="A509" s="22"/>
      <c r="B509" s="23"/>
      <c r="C509" s="24"/>
      <c r="D509" s="24"/>
      <c r="E509" s="18"/>
      <c r="F509" s="18"/>
      <c r="G509" s="25">
        <f t="shared" ref="G509:I509" si="425">G508</f>
        <v>2021</v>
      </c>
      <c r="H509" s="20" t="str">
        <f t="shared" si="425"/>
        <v>uppaie2021</v>
      </c>
      <c r="I509" s="20" t="str">
        <f t="shared" si="425"/>
        <v>Um processo para a identificação e análisesde artigos científicos em anais de congressos</v>
      </c>
      <c r="J509" s="20" t="str">
        <f t="shared" si="2"/>
        <v>plataforma lattes</v>
      </c>
      <c r="K509" s="20"/>
      <c r="L509" s="20" t="str">
        <f t="shared" si="3"/>
        <v>plataforma lattes</v>
      </c>
      <c r="M509" s="18"/>
      <c r="N509" s="21" t="str">
        <f>IFERROR(__xludf.DUMMYFUNCTION("""COMPUTED_VALUE""")," plataforma lattes")</f>
        <v> plataforma lattes</v>
      </c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</row>
    <row r="510">
      <c r="A510" s="22"/>
      <c r="B510" s="23"/>
      <c r="C510" s="24"/>
      <c r="D510" s="24"/>
      <c r="E510" s="18"/>
      <c r="F510" s="18"/>
      <c r="G510" s="25">
        <f t="shared" ref="G510:I510" si="426">G509</f>
        <v>2021</v>
      </c>
      <c r="H510" s="20" t="str">
        <f t="shared" si="426"/>
        <v>uppaie2021</v>
      </c>
      <c r="I510" s="20" t="str">
        <f t="shared" si="426"/>
        <v>Um processo para a identificação e análisesde artigos científicos em anais de congressos</v>
      </c>
      <c r="J510" s="20" t="str">
        <f t="shared" si="2"/>
        <v/>
      </c>
      <c r="K510" s="20"/>
      <c r="L510" s="20" t="str">
        <f t="shared" si="3"/>
        <v/>
      </c>
      <c r="M510" s="18"/>
      <c r="N510" s="21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</row>
    <row r="511">
      <c r="A511" s="8"/>
      <c r="B511" s="23"/>
      <c r="C511" s="24"/>
      <c r="D511" s="24"/>
      <c r="E511" s="18"/>
      <c r="F511" s="18"/>
      <c r="G511" s="25">
        <f t="shared" ref="G511:I511" si="427">G510</f>
        <v>2021</v>
      </c>
      <c r="H511" s="20" t="str">
        <f t="shared" si="427"/>
        <v>uppaie2021</v>
      </c>
      <c r="I511" s="20" t="str">
        <f t="shared" si="427"/>
        <v>Um processo para a identificação e análisesde artigos científicos em anais de congressos</v>
      </c>
      <c r="J511" s="20" t="str">
        <f t="shared" si="2"/>
        <v/>
      </c>
      <c r="K511" s="20"/>
      <c r="L511" s="20" t="str">
        <f t="shared" si="3"/>
        <v/>
      </c>
      <c r="M511" s="18"/>
      <c r="N511" s="21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</row>
    <row r="512">
      <c r="A512" s="8" t="s">
        <v>54</v>
      </c>
      <c r="B512" s="9">
        <v>2021.0</v>
      </c>
      <c r="C512" s="10" t="s">
        <v>224</v>
      </c>
      <c r="D512" s="10" t="s">
        <v>225</v>
      </c>
      <c r="E512" s="18"/>
      <c r="F512" s="18"/>
      <c r="G512" s="12">
        <f>B512</f>
        <v>2021</v>
      </c>
      <c r="H512" s="13" t="str">
        <f>LOWER(left(O512,1)&amp;left(P512,1)&amp;left(Q512,1)&amp;left(R512,1)&amp;left(S512,1)&amp;left(T512,1))&amp;G512</f>
        <v>pdpddo2021</v>
      </c>
      <c r="I512" s="20" t="str">
        <f>trim(C512)</f>
        <v>Política de privacidade de dados: observações relevantes para sua implementação</v>
      </c>
      <c r="J512" s="20" t="str">
        <f t="shared" si="2"/>
        <v>Direitos fundamentais</v>
      </c>
      <c r="K512" s="20"/>
      <c r="L512" s="20" t="str">
        <f t="shared" si="3"/>
        <v>direitos fundamentais</v>
      </c>
      <c r="M512" s="18"/>
      <c r="N512" s="21" t="str">
        <f>IFERROR(__xludf.DUMMYFUNCTION("TRANSPOSE(split(D512,"";"",true,true))"),"Direitos fundamentais")</f>
        <v>Direitos fundamentais</v>
      </c>
      <c r="O512" s="6" t="str">
        <f>IFERROR(__xludf.DUMMYFUNCTION("split(C512,"" "")"),"Política")</f>
        <v>Política</v>
      </c>
      <c r="P512" s="18" t="str">
        <f>IFERROR(__xludf.DUMMYFUNCTION("""COMPUTED_VALUE"""),"de")</f>
        <v>de</v>
      </c>
      <c r="Q512" s="18" t="str">
        <f>IFERROR(__xludf.DUMMYFUNCTION("""COMPUTED_VALUE"""),"privacidade")</f>
        <v>privacidade</v>
      </c>
      <c r="R512" s="18" t="str">
        <f>IFERROR(__xludf.DUMMYFUNCTION("""COMPUTED_VALUE"""),"de")</f>
        <v>de</v>
      </c>
      <c r="S512" s="18" t="str">
        <f>IFERROR(__xludf.DUMMYFUNCTION("""COMPUTED_VALUE"""),"dados:")</f>
        <v>dados:</v>
      </c>
      <c r="T512" s="18" t="str">
        <f>IFERROR(__xludf.DUMMYFUNCTION("""COMPUTED_VALUE"""),"observações")</f>
        <v>observações</v>
      </c>
      <c r="U512" s="18" t="str">
        <f>IFERROR(__xludf.DUMMYFUNCTION("""COMPUTED_VALUE"""),"relevantes")</f>
        <v>relevantes</v>
      </c>
      <c r="V512" s="18" t="str">
        <f>IFERROR(__xludf.DUMMYFUNCTION("""COMPUTED_VALUE"""),"para")</f>
        <v>para</v>
      </c>
      <c r="W512" s="18" t="str">
        <f>IFERROR(__xludf.DUMMYFUNCTION("""COMPUTED_VALUE"""),"sua")</f>
        <v>sua</v>
      </c>
      <c r="X512" s="18" t="str">
        <f>IFERROR(__xludf.DUMMYFUNCTION("""COMPUTED_VALUE"""),"implementação")</f>
        <v>implementação</v>
      </c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</row>
    <row r="513">
      <c r="A513" s="22"/>
      <c r="B513" s="23"/>
      <c r="C513" s="24"/>
      <c r="D513" s="24"/>
      <c r="E513" s="18"/>
      <c r="F513" s="18"/>
      <c r="G513" s="25">
        <f t="shared" ref="G513:I513" si="428">G512</f>
        <v>2021</v>
      </c>
      <c r="H513" s="20" t="str">
        <f t="shared" si="428"/>
        <v>pdpddo2021</v>
      </c>
      <c r="I513" s="20" t="str">
        <f t="shared" si="428"/>
        <v>Política de privacidade de dados: observações relevantes para sua implementação</v>
      </c>
      <c r="J513" s="20" t="str">
        <f t="shared" si="2"/>
        <v>Privacidade</v>
      </c>
      <c r="K513" s="20"/>
      <c r="L513" s="20" t="str">
        <f t="shared" si="3"/>
        <v>privacidade</v>
      </c>
      <c r="M513" s="18"/>
      <c r="N513" s="21" t="str">
        <f>IFERROR(__xludf.DUMMYFUNCTION("""COMPUTED_VALUE""")," Privacidade")</f>
        <v> Privacidade</v>
      </c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</row>
    <row r="514">
      <c r="A514" s="22"/>
      <c r="B514" s="23"/>
      <c r="C514" s="24"/>
      <c r="D514" s="24"/>
      <c r="E514" s="18"/>
      <c r="F514" s="18"/>
      <c r="G514" s="25">
        <f t="shared" ref="G514:I514" si="429">G513</f>
        <v>2021</v>
      </c>
      <c r="H514" s="20" t="str">
        <f t="shared" si="429"/>
        <v>pdpddo2021</v>
      </c>
      <c r="I514" s="20" t="str">
        <f t="shared" si="429"/>
        <v>Política de privacidade de dados: observações relevantes para sua implementação</v>
      </c>
      <c r="J514" s="20" t="str">
        <f t="shared" si="2"/>
        <v>Proteção de dados</v>
      </c>
      <c r="K514" s="20"/>
      <c r="L514" s="20" t="str">
        <f t="shared" si="3"/>
        <v>proteção de dados</v>
      </c>
      <c r="M514" s="18"/>
      <c r="N514" s="21" t="str">
        <f>IFERROR(__xludf.DUMMYFUNCTION("""COMPUTED_VALUE""")," Proteção de dados")</f>
        <v> Proteção de dados</v>
      </c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</row>
    <row r="515">
      <c r="A515" s="22"/>
      <c r="B515" s="23"/>
      <c r="C515" s="24"/>
      <c r="D515" s="24"/>
      <c r="E515" s="18"/>
      <c r="F515" s="18"/>
      <c r="G515" s="25">
        <f t="shared" ref="G515:I515" si="430">G514</f>
        <v>2021</v>
      </c>
      <c r="H515" s="20" t="str">
        <f t="shared" si="430"/>
        <v>pdpddo2021</v>
      </c>
      <c r="I515" s="20" t="str">
        <f t="shared" si="430"/>
        <v>Política de privacidade de dados: observações relevantes para sua implementação</v>
      </c>
      <c r="J515" s="20" t="str">
        <f t="shared" si="2"/>
        <v>Política de privacidade</v>
      </c>
      <c r="K515" s="20"/>
      <c r="L515" s="20" t="str">
        <f t="shared" si="3"/>
        <v>política de privacidade</v>
      </c>
      <c r="M515" s="18"/>
      <c r="N515" s="21" t="str">
        <f>IFERROR(__xludf.DUMMYFUNCTION("""COMPUTED_VALUE""")," Política de privacidade")</f>
        <v> Política de privacidade</v>
      </c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</row>
    <row r="516">
      <c r="A516" s="22"/>
      <c r="B516" s="23"/>
      <c r="C516" s="24"/>
      <c r="D516" s="24"/>
      <c r="E516" s="18"/>
      <c r="F516" s="18"/>
      <c r="G516" s="25">
        <f t="shared" ref="G516:I516" si="431">G515</f>
        <v>2021</v>
      </c>
      <c r="H516" s="20" t="str">
        <f t="shared" si="431"/>
        <v>pdpddo2021</v>
      </c>
      <c r="I516" s="20" t="str">
        <f t="shared" si="431"/>
        <v>Política de privacidade de dados: observações relevantes para sua implementação</v>
      </c>
      <c r="J516" s="20" t="str">
        <f t="shared" si="2"/>
        <v>Dados pessoais</v>
      </c>
      <c r="K516" s="20"/>
      <c r="L516" s="20" t="str">
        <f t="shared" si="3"/>
        <v>dados pessoais</v>
      </c>
      <c r="M516" s="18"/>
      <c r="N516" s="21" t="str">
        <f>IFERROR(__xludf.DUMMYFUNCTION("""COMPUTED_VALUE""")," Dados pessoais")</f>
        <v> Dados pessoais</v>
      </c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</row>
    <row r="517">
      <c r="A517" s="8"/>
      <c r="B517" s="23"/>
      <c r="C517" s="24"/>
      <c r="D517" s="24"/>
      <c r="E517" s="18"/>
      <c r="F517" s="18"/>
      <c r="G517" s="25">
        <f t="shared" ref="G517:I517" si="432">G516</f>
        <v>2021</v>
      </c>
      <c r="H517" s="20" t="str">
        <f t="shared" si="432"/>
        <v>pdpddo2021</v>
      </c>
      <c r="I517" s="20" t="str">
        <f t="shared" si="432"/>
        <v>Política de privacidade de dados: observações relevantes para sua implementação</v>
      </c>
      <c r="J517" s="20" t="str">
        <f t="shared" si="2"/>
        <v/>
      </c>
      <c r="K517" s="20"/>
      <c r="L517" s="20" t="str">
        <f t="shared" si="3"/>
        <v/>
      </c>
      <c r="M517" s="18"/>
      <c r="N517" s="21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</row>
    <row r="518">
      <c r="A518" s="8" t="s">
        <v>54</v>
      </c>
      <c r="B518" s="9">
        <v>2021.0</v>
      </c>
      <c r="C518" s="10" t="s">
        <v>226</v>
      </c>
      <c r="D518" s="10" t="s">
        <v>227</v>
      </c>
      <c r="E518" s="18"/>
      <c r="F518" s="18"/>
      <c r="G518" s="12">
        <f>B518</f>
        <v>2021</v>
      </c>
      <c r="H518" s="13" t="str">
        <f>LOWER(left(O518,1)&amp;left(P518,1)&amp;left(Q518,1)&amp;left(R518,1)&amp;left(S518,1)&amp;left(T518,1))&amp;G518</f>
        <v>adfqid2021</v>
      </c>
      <c r="I518" s="20" t="str">
        <f>trim(C518)</f>
        <v>Análise dos fatores que influenciamo desempenho de um modelo de previsãode demanda de energia</v>
      </c>
      <c r="J518" s="20" t="str">
        <f t="shared" si="2"/>
        <v>Aprendizagem máquina</v>
      </c>
      <c r="K518" s="20"/>
      <c r="L518" s="20" t="str">
        <f t="shared" si="3"/>
        <v>aprendizagem máquina</v>
      </c>
      <c r="M518" s="18"/>
      <c r="N518" s="21" t="str">
        <f>IFERROR(__xludf.DUMMYFUNCTION("TRANSPOSE(split(D518,"";"",true,true))"),"Aprendizagem máquina")</f>
        <v>Aprendizagem máquina</v>
      </c>
      <c r="O518" s="6" t="str">
        <f>IFERROR(__xludf.DUMMYFUNCTION("split(C518,"" "")"),"Análise")</f>
        <v>Análise</v>
      </c>
      <c r="P518" s="18" t="str">
        <f>IFERROR(__xludf.DUMMYFUNCTION("""COMPUTED_VALUE"""),"dos")</f>
        <v>dos</v>
      </c>
      <c r="Q518" s="18" t="str">
        <f>IFERROR(__xludf.DUMMYFUNCTION("""COMPUTED_VALUE"""),"fatores")</f>
        <v>fatores</v>
      </c>
      <c r="R518" s="18" t="str">
        <f>IFERROR(__xludf.DUMMYFUNCTION("""COMPUTED_VALUE"""),"que")</f>
        <v>que</v>
      </c>
      <c r="S518" s="18" t="str">
        <f>IFERROR(__xludf.DUMMYFUNCTION("""COMPUTED_VALUE"""),"influenciamo")</f>
        <v>influenciamo</v>
      </c>
      <c r="T518" s="18" t="str">
        <f>IFERROR(__xludf.DUMMYFUNCTION("""COMPUTED_VALUE"""),"desempenho")</f>
        <v>desempenho</v>
      </c>
      <c r="U518" s="18" t="str">
        <f>IFERROR(__xludf.DUMMYFUNCTION("""COMPUTED_VALUE"""),"de")</f>
        <v>de</v>
      </c>
      <c r="V518" s="18" t="str">
        <f>IFERROR(__xludf.DUMMYFUNCTION("""COMPUTED_VALUE"""),"um")</f>
        <v>um</v>
      </c>
      <c r="W518" s="18" t="str">
        <f>IFERROR(__xludf.DUMMYFUNCTION("""COMPUTED_VALUE"""),"modelo")</f>
        <v>modelo</v>
      </c>
      <c r="X518" s="18" t="str">
        <f>IFERROR(__xludf.DUMMYFUNCTION("""COMPUTED_VALUE"""),"de")</f>
        <v>de</v>
      </c>
      <c r="Y518" s="18" t="str">
        <f>IFERROR(__xludf.DUMMYFUNCTION("""COMPUTED_VALUE"""),"previsãode")</f>
        <v>previsãode</v>
      </c>
      <c r="Z518" s="18" t="str">
        <f>IFERROR(__xludf.DUMMYFUNCTION("""COMPUTED_VALUE"""),"demanda")</f>
        <v>demanda</v>
      </c>
      <c r="AA518" s="18" t="str">
        <f>IFERROR(__xludf.DUMMYFUNCTION("""COMPUTED_VALUE"""),"de")</f>
        <v>de</v>
      </c>
      <c r="AB518" s="18" t="str">
        <f>IFERROR(__xludf.DUMMYFUNCTION("""COMPUTED_VALUE"""),"energia")</f>
        <v>energia</v>
      </c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</row>
    <row r="519">
      <c r="A519" s="22"/>
      <c r="B519" s="23"/>
      <c r="C519" s="24"/>
      <c r="D519" s="24"/>
      <c r="E519" s="18"/>
      <c r="F519" s="18"/>
      <c r="G519" s="25">
        <f t="shared" ref="G519:I519" si="433">G518</f>
        <v>2021</v>
      </c>
      <c r="H519" s="20" t="str">
        <f t="shared" si="433"/>
        <v>adfqid2021</v>
      </c>
      <c r="I519" s="20" t="str">
        <f t="shared" si="433"/>
        <v>Análise dos fatores que influenciamo desempenho de um modelo de previsãode demanda de energia</v>
      </c>
      <c r="J519" s="20" t="str">
        <f t="shared" si="2"/>
        <v>Redes neurais artificiais</v>
      </c>
      <c r="K519" s="20"/>
      <c r="L519" s="20" t="str">
        <f t="shared" si="3"/>
        <v>redes neurais artificiais</v>
      </c>
      <c r="M519" s="18"/>
      <c r="N519" s="21" t="str">
        <f>IFERROR(__xludf.DUMMYFUNCTION("""COMPUTED_VALUE""")," Redes neurais artificiais")</f>
        <v> Redes neurais artificiais</v>
      </c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</row>
    <row r="520">
      <c r="A520" s="22"/>
      <c r="B520" s="23"/>
      <c r="C520" s="24"/>
      <c r="D520" s="24"/>
      <c r="E520" s="18"/>
      <c r="F520" s="18"/>
      <c r="G520" s="25">
        <f t="shared" ref="G520:I520" si="434">G519</f>
        <v>2021</v>
      </c>
      <c r="H520" s="20" t="str">
        <f t="shared" si="434"/>
        <v>adfqid2021</v>
      </c>
      <c r="I520" s="20" t="str">
        <f t="shared" si="434"/>
        <v>Análise dos fatores que influenciamo desempenho de um modelo de previsãode demanda de energia</v>
      </c>
      <c r="J520" s="20" t="str">
        <f t="shared" si="2"/>
        <v>Previsão de de-manda</v>
      </c>
      <c r="K520" s="20"/>
      <c r="L520" s="20" t="str">
        <f t="shared" si="3"/>
        <v>previsão de de-manda</v>
      </c>
      <c r="M520" s="18"/>
      <c r="N520" s="21" t="str">
        <f>IFERROR(__xludf.DUMMYFUNCTION("""COMPUTED_VALUE""")," Previsão de de-manda")</f>
        <v> Previsão de de-manda</v>
      </c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</row>
    <row r="521">
      <c r="A521" s="22"/>
      <c r="B521" s="23"/>
      <c r="C521" s="24"/>
      <c r="D521" s="24"/>
      <c r="E521" s="18"/>
      <c r="F521" s="18"/>
      <c r="G521" s="25">
        <f t="shared" ref="G521:I521" si="435">G520</f>
        <v>2021</v>
      </c>
      <c r="H521" s="20" t="str">
        <f t="shared" si="435"/>
        <v>adfqid2021</v>
      </c>
      <c r="I521" s="20" t="str">
        <f t="shared" si="435"/>
        <v>Análise dos fatores que influenciamo desempenho de um modelo de previsãode demanda de energia</v>
      </c>
      <c r="J521" s="20" t="str">
        <f t="shared" si="2"/>
        <v/>
      </c>
      <c r="K521" s="20"/>
      <c r="L521" s="20" t="str">
        <f t="shared" si="3"/>
        <v/>
      </c>
      <c r="M521" s="18"/>
      <c r="N521" s="21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</row>
    <row r="522">
      <c r="A522" s="22"/>
      <c r="B522" s="23"/>
      <c r="C522" s="24"/>
      <c r="D522" s="24"/>
      <c r="E522" s="18"/>
      <c r="F522" s="18"/>
      <c r="G522" s="25">
        <f t="shared" ref="G522:I522" si="436">G521</f>
        <v>2021</v>
      </c>
      <c r="H522" s="20" t="str">
        <f t="shared" si="436"/>
        <v>adfqid2021</v>
      </c>
      <c r="I522" s="20" t="str">
        <f t="shared" si="436"/>
        <v>Análise dos fatores que influenciamo desempenho de um modelo de previsãode demanda de energia</v>
      </c>
      <c r="J522" s="20" t="str">
        <f t="shared" si="2"/>
        <v/>
      </c>
      <c r="K522" s="20"/>
      <c r="L522" s="20" t="str">
        <f t="shared" si="3"/>
        <v/>
      </c>
      <c r="M522" s="18"/>
      <c r="N522" s="21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</row>
    <row r="523">
      <c r="A523" s="8"/>
      <c r="B523" s="23"/>
      <c r="C523" s="24"/>
      <c r="D523" s="24"/>
      <c r="E523" s="18"/>
      <c r="F523" s="18"/>
      <c r="G523" s="25">
        <f t="shared" ref="G523:I523" si="437">G522</f>
        <v>2021</v>
      </c>
      <c r="H523" s="20" t="str">
        <f t="shared" si="437"/>
        <v>adfqid2021</v>
      </c>
      <c r="I523" s="20" t="str">
        <f t="shared" si="437"/>
        <v>Análise dos fatores que influenciamo desempenho de um modelo de previsãode demanda de energia</v>
      </c>
      <c r="J523" s="20" t="str">
        <f t="shared" si="2"/>
        <v/>
      </c>
      <c r="K523" s="20"/>
      <c r="L523" s="20" t="str">
        <f t="shared" si="3"/>
        <v/>
      </c>
      <c r="M523" s="18"/>
      <c r="N523" s="21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</row>
    <row r="524">
      <c r="A524" s="8" t="s">
        <v>54</v>
      </c>
      <c r="B524" s="9">
        <v>2021.0</v>
      </c>
      <c r="C524" s="10" t="s">
        <v>228</v>
      </c>
      <c r="D524" s="10" t="s">
        <v>229</v>
      </c>
      <c r="E524" s="18"/>
      <c r="F524" s="18"/>
      <c r="G524" s="12">
        <f>B524</f>
        <v>2021</v>
      </c>
      <c r="H524" s="13" t="str">
        <f>LOWER(left(O524,1)&amp;left(P524,1)&amp;left(Q524,1)&amp;left(R524,1)&amp;left(S524,1)&amp;left(T524,1))&amp;G524</f>
        <v>ccretd2021</v>
      </c>
      <c r="I524" s="20" t="str">
        <f>trim(C524)</f>
        <v>Comunicação científica rápida em tempos de pandemia: a atenção online de preprintssobre Covid-19</v>
      </c>
      <c r="J524" s="20" t="str">
        <f t="shared" si="2"/>
        <v>Comunicação Científica</v>
      </c>
      <c r="K524" s="20"/>
      <c r="L524" s="20" t="str">
        <f t="shared" si="3"/>
        <v>comunicação científica</v>
      </c>
      <c r="M524" s="18"/>
      <c r="N524" s="21" t="str">
        <f>IFERROR(__xludf.DUMMYFUNCTION("TRANSPOSE(split(D524,"";"",true,true))"),"Comunicação Científica")</f>
        <v>Comunicação Científica</v>
      </c>
      <c r="O524" s="6" t="str">
        <f>IFERROR(__xludf.DUMMYFUNCTION("split(C524,"" "")"),"Comunicação")</f>
        <v>Comunicação</v>
      </c>
      <c r="P524" s="18" t="str">
        <f>IFERROR(__xludf.DUMMYFUNCTION("""COMPUTED_VALUE"""),"científica")</f>
        <v>científica</v>
      </c>
      <c r="Q524" s="18" t="str">
        <f>IFERROR(__xludf.DUMMYFUNCTION("""COMPUTED_VALUE"""),"rápida")</f>
        <v>rápida</v>
      </c>
      <c r="R524" s="18" t="str">
        <f>IFERROR(__xludf.DUMMYFUNCTION("""COMPUTED_VALUE"""),"em")</f>
        <v>em</v>
      </c>
      <c r="S524" s="18" t="str">
        <f>IFERROR(__xludf.DUMMYFUNCTION("""COMPUTED_VALUE"""),"tempos")</f>
        <v>tempos</v>
      </c>
      <c r="T524" s="18" t="str">
        <f>IFERROR(__xludf.DUMMYFUNCTION("""COMPUTED_VALUE"""),"de")</f>
        <v>de</v>
      </c>
      <c r="U524" s="18" t="str">
        <f>IFERROR(__xludf.DUMMYFUNCTION("""COMPUTED_VALUE"""),"pandemia:")</f>
        <v>pandemia:</v>
      </c>
      <c r="V524" s="18" t="str">
        <f>IFERROR(__xludf.DUMMYFUNCTION("""COMPUTED_VALUE"""),"a")</f>
        <v>a</v>
      </c>
      <c r="W524" s="18" t="str">
        <f>IFERROR(__xludf.DUMMYFUNCTION("""COMPUTED_VALUE"""),"atenção")</f>
        <v>atenção</v>
      </c>
      <c r="X524" s="18" t="str">
        <f>IFERROR(__xludf.DUMMYFUNCTION("""COMPUTED_VALUE"""),"online")</f>
        <v>online</v>
      </c>
      <c r="Y524" s="18" t="str">
        <f>IFERROR(__xludf.DUMMYFUNCTION("""COMPUTED_VALUE"""),"de")</f>
        <v>de</v>
      </c>
      <c r="Z524" s="18" t="str">
        <f>IFERROR(__xludf.DUMMYFUNCTION("""COMPUTED_VALUE"""),"preprintssobre")</f>
        <v>preprintssobre</v>
      </c>
      <c r="AA524" s="18" t="str">
        <f>IFERROR(__xludf.DUMMYFUNCTION("""COMPUTED_VALUE"""),"Covid-19")</f>
        <v>Covid-19</v>
      </c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</row>
    <row r="525">
      <c r="A525" s="22"/>
      <c r="B525" s="23"/>
      <c r="C525" s="24"/>
      <c r="D525" s="24"/>
      <c r="E525" s="18"/>
      <c r="F525" s="18"/>
      <c r="G525" s="25">
        <f t="shared" ref="G525:I525" si="438">G524</f>
        <v>2021</v>
      </c>
      <c r="H525" s="20" t="str">
        <f t="shared" si="438"/>
        <v>ccretd2021</v>
      </c>
      <c r="I525" s="20" t="str">
        <f t="shared" si="438"/>
        <v>Comunicação científica rápida em tempos de pandemia: a atenção online de preprintssobre Covid-19</v>
      </c>
      <c r="J525" s="20" t="str">
        <f t="shared" si="2"/>
        <v>Preprint</v>
      </c>
      <c r="K525" s="20"/>
      <c r="L525" s="20" t="str">
        <f t="shared" si="3"/>
        <v>preprint</v>
      </c>
      <c r="M525" s="18"/>
      <c r="N525" s="21" t="str">
        <f>IFERROR(__xludf.DUMMYFUNCTION("""COMPUTED_VALUE""")," Preprint")</f>
        <v> Preprint</v>
      </c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</row>
    <row r="526">
      <c r="A526" s="22"/>
      <c r="B526" s="23"/>
      <c r="C526" s="24"/>
      <c r="D526" s="24"/>
      <c r="E526" s="18"/>
      <c r="F526" s="18"/>
      <c r="G526" s="25">
        <f t="shared" ref="G526:I526" si="439">G525</f>
        <v>2021</v>
      </c>
      <c r="H526" s="20" t="str">
        <f t="shared" si="439"/>
        <v>ccretd2021</v>
      </c>
      <c r="I526" s="20" t="str">
        <f t="shared" si="439"/>
        <v>Comunicação científica rápida em tempos de pandemia: a atenção online de preprintssobre Covid-19</v>
      </c>
      <c r="J526" s="20" t="str">
        <f t="shared" si="2"/>
        <v>Altmetria</v>
      </c>
      <c r="K526" s="20"/>
      <c r="L526" s="20" t="str">
        <f t="shared" si="3"/>
        <v>altmetria</v>
      </c>
      <c r="M526" s="18"/>
      <c r="N526" s="21" t="str">
        <f>IFERROR(__xludf.DUMMYFUNCTION("""COMPUTED_VALUE""")," Altmetria")</f>
        <v> Altmetria</v>
      </c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</row>
    <row r="527">
      <c r="A527" s="22"/>
      <c r="B527" s="23"/>
      <c r="C527" s="24"/>
      <c r="D527" s="24"/>
      <c r="E527" s="18"/>
      <c r="F527" s="18"/>
      <c r="G527" s="25">
        <f t="shared" ref="G527:I527" si="440">G526</f>
        <v>2021</v>
      </c>
      <c r="H527" s="20" t="str">
        <f t="shared" si="440"/>
        <v>ccretd2021</v>
      </c>
      <c r="I527" s="20" t="str">
        <f t="shared" si="440"/>
        <v>Comunicação científica rápida em tempos de pandemia: a atenção online de preprintssobre Covid-19</v>
      </c>
      <c r="J527" s="20" t="str">
        <f t="shared" si="2"/>
        <v>Covid-19</v>
      </c>
      <c r="K527" s="20"/>
      <c r="L527" s="20" t="str">
        <f t="shared" si="3"/>
        <v>covid-19</v>
      </c>
      <c r="M527" s="18"/>
      <c r="N527" s="21" t="str">
        <f>IFERROR(__xludf.DUMMYFUNCTION("""COMPUTED_VALUE""")," Covid-19")</f>
        <v> Covid-19</v>
      </c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</row>
    <row r="528">
      <c r="A528" s="22"/>
      <c r="B528" s="23"/>
      <c r="C528" s="24"/>
      <c r="D528" s="24"/>
      <c r="E528" s="18"/>
      <c r="F528" s="18"/>
      <c r="G528" s="25">
        <f t="shared" ref="G528:I528" si="441">G527</f>
        <v>2021</v>
      </c>
      <c r="H528" s="20" t="str">
        <f t="shared" si="441"/>
        <v>ccretd2021</v>
      </c>
      <c r="I528" s="20" t="str">
        <f t="shared" si="441"/>
        <v>Comunicação científica rápida em tempos de pandemia: a atenção online de preprintssobre Covid-19</v>
      </c>
      <c r="J528" s="20" t="str">
        <f t="shared" si="2"/>
        <v/>
      </c>
      <c r="K528" s="20"/>
      <c r="L528" s="20" t="str">
        <f t="shared" si="3"/>
        <v/>
      </c>
      <c r="M528" s="18"/>
      <c r="N528" s="21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</row>
    <row r="529">
      <c r="A529" s="8"/>
      <c r="B529" s="23"/>
      <c r="C529" s="24"/>
      <c r="D529" s="24"/>
      <c r="E529" s="18"/>
      <c r="F529" s="18"/>
      <c r="G529" s="25">
        <f t="shared" ref="G529:I529" si="442">G528</f>
        <v>2021</v>
      </c>
      <c r="H529" s="20" t="str">
        <f t="shared" si="442"/>
        <v>ccretd2021</v>
      </c>
      <c r="I529" s="20" t="str">
        <f t="shared" si="442"/>
        <v>Comunicação científica rápida em tempos de pandemia: a atenção online de preprintssobre Covid-19</v>
      </c>
      <c r="J529" s="20" t="str">
        <f t="shared" si="2"/>
        <v/>
      </c>
      <c r="K529" s="20"/>
      <c r="L529" s="20" t="str">
        <f t="shared" si="3"/>
        <v/>
      </c>
      <c r="M529" s="18"/>
      <c r="N529" s="21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</row>
    <row r="530">
      <c r="A530" s="8" t="s">
        <v>54</v>
      </c>
      <c r="B530" s="9">
        <v>2021.0</v>
      </c>
      <c r="C530" s="10" t="s">
        <v>230</v>
      </c>
      <c r="D530" s="10" t="s">
        <v>231</v>
      </c>
      <c r="E530" s="18"/>
      <c r="F530" s="18"/>
      <c r="G530" s="12">
        <f>B530</f>
        <v>2021</v>
      </c>
      <c r="H530" s="13" t="str">
        <f>LOWER(left(O530,1)&amp;left(P530,1)&amp;left(Q530,1)&amp;left(R530,1)&amp;left(S530,1)&amp;left(T530,1))&amp;G530</f>
        <v>gddcpe2021</v>
      </c>
      <c r="I530" s="20" t="str">
        <f>trim(C530)</f>
        <v>Gestão de dados científicos: produção e impacto a partir de dados da base Dimensions</v>
      </c>
      <c r="J530" s="20" t="str">
        <f t="shared" si="2"/>
        <v>gestão de dados científicos</v>
      </c>
      <c r="K530" s="20"/>
      <c r="L530" s="20" t="str">
        <f t="shared" si="3"/>
        <v>gestão de dados científicos</v>
      </c>
      <c r="M530" s="18"/>
      <c r="N530" s="21" t="str">
        <f>IFERROR(__xludf.DUMMYFUNCTION("TRANSPOSE(split(D530,"";"",true,true))")," gestão de dados científicos")</f>
        <v> gestão de dados científicos</v>
      </c>
      <c r="O530" s="6" t="str">
        <f>IFERROR(__xludf.DUMMYFUNCTION("split(C530,"" "")"),"Gestão")</f>
        <v>Gestão</v>
      </c>
      <c r="P530" s="18" t="str">
        <f>IFERROR(__xludf.DUMMYFUNCTION("""COMPUTED_VALUE"""),"de")</f>
        <v>de</v>
      </c>
      <c r="Q530" s="18" t="str">
        <f>IFERROR(__xludf.DUMMYFUNCTION("""COMPUTED_VALUE"""),"dados")</f>
        <v>dados</v>
      </c>
      <c r="R530" s="18" t="str">
        <f>IFERROR(__xludf.DUMMYFUNCTION("""COMPUTED_VALUE"""),"científicos:")</f>
        <v>científicos:</v>
      </c>
      <c r="S530" s="18" t="str">
        <f>IFERROR(__xludf.DUMMYFUNCTION("""COMPUTED_VALUE"""),"produção")</f>
        <v>produção</v>
      </c>
      <c r="T530" s="18" t="str">
        <f>IFERROR(__xludf.DUMMYFUNCTION("""COMPUTED_VALUE"""),"e")</f>
        <v>e</v>
      </c>
      <c r="U530" s="18" t="str">
        <f>IFERROR(__xludf.DUMMYFUNCTION("""COMPUTED_VALUE"""),"impacto")</f>
        <v>impacto</v>
      </c>
      <c r="V530" s="18" t="str">
        <f>IFERROR(__xludf.DUMMYFUNCTION("""COMPUTED_VALUE"""),"a")</f>
        <v>a</v>
      </c>
      <c r="W530" s="18" t="str">
        <f>IFERROR(__xludf.DUMMYFUNCTION("""COMPUTED_VALUE"""),"partir")</f>
        <v>partir</v>
      </c>
      <c r="X530" s="18" t="str">
        <f>IFERROR(__xludf.DUMMYFUNCTION("""COMPUTED_VALUE"""),"de")</f>
        <v>de</v>
      </c>
      <c r="Y530" s="18" t="str">
        <f>IFERROR(__xludf.DUMMYFUNCTION("""COMPUTED_VALUE"""),"dados")</f>
        <v>dados</v>
      </c>
      <c r="Z530" s="18" t="str">
        <f>IFERROR(__xludf.DUMMYFUNCTION("""COMPUTED_VALUE"""),"da")</f>
        <v>da</v>
      </c>
      <c r="AA530" s="18" t="str">
        <f>IFERROR(__xludf.DUMMYFUNCTION("""COMPUTED_VALUE"""),"base")</f>
        <v>base</v>
      </c>
      <c r="AB530" s="18" t="str">
        <f>IFERROR(__xludf.DUMMYFUNCTION("""COMPUTED_VALUE"""),"Dimensions")</f>
        <v>Dimensions</v>
      </c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</row>
    <row r="531">
      <c r="A531" s="22"/>
      <c r="B531" s="23"/>
      <c r="C531" s="24"/>
      <c r="D531" s="24"/>
      <c r="E531" s="18"/>
      <c r="F531" s="18"/>
      <c r="G531" s="25">
        <f t="shared" ref="G531:I531" si="443">G530</f>
        <v>2021</v>
      </c>
      <c r="H531" s="20" t="str">
        <f t="shared" si="443"/>
        <v>gddcpe2021</v>
      </c>
      <c r="I531" s="20" t="str">
        <f t="shared" si="443"/>
        <v>Gestão de dados científicos: produção e impacto a partir de dados da base Dimensions</v>
      </c>
      <c r="J531" s="20" t="str">
        <f t="shared" si="2"/>
        <v>bibliometria</v>
      </c>
      <c r="K531" s="20"/>
      <c r="L531" s="20" t="str">
        <f t="shared" si="3"/>
        <v>bibliometria</v>
      </c>
      <c r="M531" s="18"/>
      <c r="N531" s="21" t="str">
        <f>IFERROR(__xludf.DUMMYFUNCTION("""COMPUTED_VALUE""")," bibliometria")</f>
        <v> bibliometria</v>
      </c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</row>
    <row r="532">
      <c r="A532" s="22"/>
      <c r="B532" s="23"/>
      <c r="C532" s="24"/>
      <c r="D532" s="24"/>
      <c r="E532" s="18"/>
      <c r="F532" s="18"/>
      <c r="G532" s="25">
        <f t="shared" ref="G532:I532" si="444">G531</f>
        <v>2021</v>
      </c>
      <c r="H532" s="20" t="str">
        <f t="shared" si="444"/>
        <v>gddcpe2021</v>
      </c>
      <c r="I532" s="20" t="str">
        <f t="shared" si="444"/>
        <v>Gestão de dados científicos: produção e impacto a partir de dados da base Dimensions</v>
      </c>
      <c r="J532" s="20" t="str">
        <f t="shared" si="2"/>
        <v>produção científica</v>
      </c>
      <c r="K532" s="20"/>
      <c r="L532" s="20" t="str">
        <f t="shared" si="3"/>
        <v>produção científica</v>
      </c>
      <c r="M532" s="18"/>
      <c r="N532" s="21" t="str">
        <f>IFERROR(__xludf.DUMMYFUNCTION("""COMPUTED_VALUE""")," produção científica")</f>
        <v> produção científica</v>
      </c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</row>
    <row r="533">
      <c r="A533" s="22"/>
      <c r="B533" s="23"/>
      <c r="C533" s="24"/>
      <c r="D533" s="24"/>
      <c r="E533" s="18"/>
      <c r="F533" s="18"/>
      <c r="G533" s="25">
        <f t="shared" ref="G533:I533" si="445">G532</f>
        <v>2021</v>
      </c>
      <c r="H533" s="20" t="str">
        <f t="shared" si="445"/>
        <v>gddcpe2021</v>
      </c>
      <c r="I533" s="20" t="str">
        <f t="shared" si="445"/>
        <v>Gestão de dados científicos: produção e impacto a partir de dados da base Dimensions</v>
      </c>
      <c r="J533" s="20" t="str">
        <f t="shared" si="2"/>
        <v>ciência aberta</v>
      </c>
      <c r="K533" s="20"/>
      <c r="L533" s="20" t="str">
        <f t="shared" si="3"/>
        <v>ciência aberta</v>
      </c>
      <c r="M533" s="18"/>
      <c r="N533" s="21" t="str">
        <f>IFERROR(__xludf.DUMMYFUNCTION("""COMPUTED_VALUE""")," ciência aberta")</f>
        <v> ciência aberta</v>
      </c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</row>
    <row r="534">
      <c r="A534" s="22"/>
      <c r="B534" s="23"/>
      <c r="C534" s="24"/>
      <c r="D534" s="24"/>
      <c r="E534" s="18"/>
      <c r="F534" s="18"/>
      <c r="G534" s="25">
        <f t="shared" ref="G534:I534" si="446">G533</f>
        <v>2021</v>
      </c>
      <c r="H534" s="20" t="str">
        <f t="shared" si="446"/>
        <v>gddcpe2021</v>
      </c>
      <c r="I534" s="20" t="str">
        <f t="shared" si="446"/>
        <v>Gestão de dados científicos: produção e impacto a partir de dados da base Dimensions</v>
      </c>
      <c r="J534" s="20" t="str">
        <f t="shared" si="2"/>
        <v/>
      </c>
      <c r="K534" s="20"/>
      <c r="L534" s="20" t="str">
        <f t="shared" si="3"/>
        <v/>
      </c>
      <c r="M534" s="18"/>
      <c r="N534" s="21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</row>
    <row r="535">
      <c r="A535" s="8"/>
      <c r="B535" s="23"/>
      <c r="C535" s="24"/>
      <c r="D535" s="24"/>
      <c r="E535" s="18"/>
      <c r="F535" s="18"/>
      <c r="G535" s="25">
        <f t="shared" ref="G535:I535" si="447">G534</f>
        <v>2021</v>
      </c>
      <c r="H535" s="20" t="str">
        <f t="shared" si="447"/>
        <v>gddcpe2021</v>
      </c>
      <c r="I535" s="20" t="str">
        <f t="shared" si="447"/>
        <v>Gestão de dados científicos: produção e impacto a partir de dados da base Dimensions</v>
      </c>
      <c r="J535" s="20" t="str">
        <f t="shared" si="2"/>
        <v/>
      </c>
      <c r="K535" s="20"/>
      <c r="L535" s="20" t="str">
        <f t="shared" si="3"/>
        <v/>
      </c>
      <c r="M535" s="18"/>
      <c r="N535" s="21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</row>
    <row r="536">
      <c r="A536" s="8" t="s">
        <v>54</v>
      </c>
      <c r="B536" s="9">
        <v>2021.0</v>
      </c>
      <c r="C536" s="10" t="s">
        <v>232</v>
      </c>
      <c r="D536" s="10" t="s">
        <v>233</v>
      </c>
      <c r="E536" s="18"/>
      <c r="F536" s="18"/>
      <c r="G536" s="12">
        <f>B536</f>
        <v>2021</v>
      </c>
      <c r="H536" s="13" t="str">
        <f>LOWER(left(O536,1)&amp;left(P536,1)&amp;left(Q536,1)&amp;left(R536,1)&amp;left(S536,1)&amp;left(T536,1))&amp;G536</f>
        <v>radadc2021</v>
      </c>
      <c r="I536" s="20" t="str">
        <f>trim(C536)</f>
        <v>Repositórios abertos digitais: avaliação da confiabilidade com base nos critériosda ISO 16363</v>
      </c>
      <c r="J536" s="20" t="str">
        <f t="shared" si="2"/>
        <v>repositórios digitais confiáveis</v>
      </c>
      <c r="K536" s="20"/>
      <c r="L536" s="20" t="str">
        <f t="shared" si="3"/>
        <v>repositórios digitais confiáveis</v>
      </c>
      <c r="M536" s="18"/>
      <c r="N536" s="21" t="str">
        <f>IFERROR(__xludf.DUMMYFUNCTION("TRANSPOSE(split(D536,"";"",true,true))"),"repositórios digitais confiáveis")</f>
        <v>repositórios digitais confiáveis</v>
      </c>
      <c r="O536" s="6" t="str">
        <f>IFERROR(__xludf.DUMMYFUNCTION("split(C536,"" "")"),"Repositórios")</f>
        <v>Repositórios</v>
      </c>
      <c r="P536" s="18" t="str">
        <f>IFERROR(__xludf.DUMMYFUNCTION("""COMPUTED_VALUE"""),"abertos")</f>
        <v>abertos</v>
      </c>
      <c r="Q536" s="18" t="str">
        <f>IFERROR(__xludf.DUMMYFUNCTION("""COMPUTED_VALUE"""),"digitais:")</f>
        <v>digitais:</v>
      </c>
      <c r="R536" s="18" t="str">
        <f>IFERROR(__xludf.DUMMYFUNCTION("""COMPUTED_VALUE"""),"avaliação")</f>
        <v>avaliação</v>
      </c>
      <c r="S536" s="18" t="str">
        <f>IFERROR(__xludf.DUMMYFUNCTION("""COMPUTED_VALUE"""),"da")</f>
        <v>da</v>
      </c>
      <c r="T536" s="18" t="str">
        <f>IFERROR(__xludf.DUMMYFUNCTION("""COMPUTED_VALUE"""),"confiabilidade")</f>
        <v>confiabilidade</v>
      </c>
      <c r="U536" s="18" t="str">
        <f>IFERROR(__xludf.DUMMYFUNCTION("""COMPUTED_VALUE"""),"com")</f>
        <v>com</v>
      </c>
      <c r="V536" s="18" t="str">
        <f>IFERROR(__xludf.DUMMYFUNCTION("""COMPUTED_VALUE"""),"base")</f>
        <v>base</v>
      </c>
      <c r="W536" s="18" t="str">
        <f>IFERROR(__xludf.DUMMYFUNCTION("""COMPUTED_VALUE"""),"nos")</f>
        <v>nos</v>
      </c>
      <c r="X536" s="18" t="str">
        <f>IFERROR(__xludf.DUMMYFUNCTION("""COMPUTED_VALUE"""),"critériosda")</f>
        <v>critériosda</v>
      </c>
      <c r="Y536" s="18" t="str">
        <f>IFERROR(__xludf.DUMMYFUNCTION("""COMPUTED_VALUE"""),"ISO")</f>
        <v>ISO</v>
      </c>
      <c r="Z536" s="18">
        <f>IFERROR(__xludf.DUMMYFUNCTION("""COMPUTED_VALUE"""),16363.0)</f>
        <v>16363</v>
      </c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</row>
    <row r="537">
      <c r="A537" s="22"/>
      <c r="B537" s="23"/>
      <c r="C537" s="24"/>
      <c r="D537" s="24"/>
      <c r="E537" s="18"/>
      <c r="F537" s="18"/>
      <c r="G537" s="25">
        <f t="shared" ref="G537:I537" si="448">G536</f>
        <v>2021</v>
      </c>
      <c r="H537" s="20" t="str">
        <f t="shared" si="448"/>
        <v>radadc2021</v>
      </c>
      <c r="I537" s="20" t="str">
        <f t="shared" si="448"/>
        <v>Repositórios abertos digitais: avaliação da confiabilidade com base nos critériosda ISO 16363</v>
      </c>
      <c r="J537" s="20" t="str">
        <f t="shared" si="2"/>
        <v>preservação digital</v>
      </c>
      <c r="K537" s="20"/>
      <c r="L537" s="20" t="str">
        <f t="shared" si="3"/>
        <v>preservação digital</v>
      </c>
      <c r="M537" s="18"/>
      <c r="N537" s="21" t="str">
        <f>IFERROR(__xludf.DUMMYFUNCTION("""COMPUTED_VALUE""")," preservação digital")</f>
        <v> preservação digital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</row>
    <row r="538">
      <c r="A538" s="22"/>
      <c r="B538" s="23"/>
      <c r="C538" s="24"/>
      <c r="D538" s="24"/>
      <c r="E538" s="18"/>
      <c r="F538" s="18"/>
      <c r="G538" s="25">
        <f t="shared" ref="G538:I538" si="449">G537</f>
        <v>2021</v>
      </c>
      <c r="H538" s="20" t="str">
        <f t="shared" si="449"/>
        <v>radadc2021</v>
      </c>
      <c r="I538" s="20" t="str">
        <f t="shared" si="449"/>
        <v>Repositórios abertos digitais: avaliação da confiabilidade com base nos critériosda ISO 16363</v>
      </c>
      <c r="J538" s="20" t="str">
        <f t="shared" si="2"/>
        <v>ISO 16363</v>
      </c>
      <c r="K538" s="20"/>
      <c r="L538" s="20" t="str">
        <f t="shared" si="3"/>
        <v>iso 16363</v>
      </c>
      <c r="M538" s="18"/>
      <c r="N538" s="21" t="str">
        <f>IFERROR(__xludf.DUMMYFUNCTION("""COMPUTED_VALUE""")," ISO 16363")</f>
        <v> ISO 16363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</row>
    <row r="539">
      <c r="A539" s="22"/>
      <c r="B539" s="23"/>
      <c r="C539" s="24"/>
      <c r="D539" s="24"/>
      <c r="E539" s="18"/>
      <c r="F539" s="18"/>
      <c r="G539" s="25">
        <f t="shared" ref="G539:I539" si="450">G538</f>
        <v>2021</v>
      </c>
      <c r="H539" s="20" t="str">
        <f t="shared" si="450"/>
        <v>radadc2021</v>
      </c>
      <c r="I539" s="20" t="str">
        <f t="shared" si="450"/>
        <v>Repositórios abertos digitais: avaliação da confiabilidade com base nos critériosda ISO 16363</v>
      </c>
      <c r="J539" s="20" t="str">
        <f t="shared" si="2"/>
        <v/>
      </c>
      <c r="K539" s="20"/>
      <c r="L539" s="20" t="str">
        <f t="shared" si="3"/>
        <v/>
      </c>
      <c r="M539" s="18"/>
      <c r="N539" s="21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</row>
    <row r="540">
      <c r="A540" s="22"/>
      <c r="B540" s="23"/>
      <c r="C540" s="24"/>
      <c r="D540" s="24"/>
      <c r="E540" s="18"/>
      <c r="F540" s="18"/>
      <c r="G540" s="25">
        <f t="shared" ref="G540:I540" si="451">G539</f>
        <v>2021</v>
      </c>
      <c r="H540" s="20" t="str">
        <f t="shared" si="451"/>
        <v>radadc2021</v>
      </c>
      <c r="I540" s="20" t="str">
        <f t="shared" si="451"/>
        <v>Repositórios abertos digitais: avaliação da confiabilidade com base nos critériosda ISO 16363</v>
      </c>
      <c r="J540" s="20" t="str">
        <f t="shared" si="2"/>
        <v/>
      </c>
      <c r="K540" s="20"/>
      <c r="L540" s="20" t="str">
        <f t="shared" si="3"/>
        <v/>
      </c>
      <c r="M540" s="18"/>
      <c r="N540" s="21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</row>
    <row r="541">
      <c r="A541" s="8"/>
      <c r="B541" s="23"/>
      <c r="C541" s="24"/>
      <c r="D541" s="24"/>
      <c r="E541" s="18"/>
      <c r="F541" s="18"/>
      <c r="G541" s="25">
        <f t="shared" ref="G541:I541" si="452">G540</f>
        <v>2021</v>
      </c>
      <c r="H541" s="20" t="str">
        <f t="shared" si="452"/>
        <v>radadc2021</v>
      </c>
      <c r="I541" s="20" t="str">
        <f t="shared" si="452"/>
        <v>Repositórios abertos digitais: avaliação da confiabilidade com base nos critériosda ISO 16363</v>
      </c>
      <c r="J541" s="20" t="str">
        <f t="shared" si="2"/>
        <v/>
      </c>
      <c r="K541" s="20"/>
      <c r="L541" s="20" t="str">
        <f t="shared" si="3"/>
        <v/>
      </c>
      <c r="M541" s="18"/>
      <c r="N541" s="21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</row>
    <row r="542">
      <c r="A542" s="8" t="s">
        <v>54</v>
      </c>
      <c r="B542" s="9">
        <v>2021.0</v>
      </c>
      <c r="C542" s="10" t="s">
        <v>234</v>
      </c>
      <c r="D542" s="10" t="s">
        <v>235</v>
      </c>
      <c r="E542" s="18"/>
      <c r="F542" s="18"/>
      <c r="G542" s="12">
        <f>B542</f>
        <v>2021</v>
      </c>
      <c r="H542" s="13" t="str">
        <f>LOWER(left(O542,1)&amp;left(P542,1)&amp;left(Q542,1)&amp;left(R542,1)&amp;left(S542,1)&amp;left(T542,1))&amp;G542</f>
        <v>pddudà2021</v>
      </c>
      <c r="I542" s="20" t="str">
        <f>trim(C542)</f>
        <v>Privacidade de dados: Uma discussão à luzdos paradigmas da Ciência da Informação</v>
      </c>
      <c r="J542" s="20" t="str">
        <f t="shared" si="2"/>
        <v>Privacidade</v>
      </c>
      <c r="K542" s="20"/>
      <c r="L542" s="20" t="str">
        <f t="shared" si="3"/>
        <v>privacidade</v>
      </c>
      <c r="M542" s="18"/>
      <c r="N542" s="21" t="str">
        <f>IFERROR(__xludf.DUMMYFUNCTION("TRANSPOSE(split(D542,"";"",true,true))"),"Privacidade")</f>
        <v>Privacidade</v>
      </c>
      <c r="O542" s="6" t="str">
        <f>IFERROR(__xludf.DUMMYFUNCTION("split(C542,"" "")"),"Privacidade")</f>
        <v>Privacidade</v>
      </c>
      <c r="P542" s="18" t="str">
        <f>IFERROR(__xludf.DUMMYFUNCTION("""COMPUTED_VALUE"""),"de")</f>
        <v>de</v>
      </c>
      <c r="Q542" s="18" t="str">
        <f>IFERROR(__xludf.DUMMYFUNCTION("""COMPUTED_VALUE"""),"dados:")</f>
        <v>dados:</v>
      </c>
      <c r="R542" s="18" t="str">
        <f>IFERROR(__xludf.DUMMYFUNCTION("""COMPUTED_VALUE"""),"Uma")</f>
        <v>Uma</v>
      </c>
      <c r="S542" s="18" t="str">
        <f>IFERROR(__xludf.DUMMYFUNCTION("""COMPUTED_VALUE"""),"discussão")</f>
        <v>discussão</v>
      </c>
      <c r="T542" s="18" t="str">
        <f>IFERROR(__xludf.DUMMYFUNCTION("""COMPUTED_VALUE"""),"à")</f>
        <v>à</v>
      </c>
      <c r="U542" s="18" t="str">
        <f>IFERROR(__xludf.DUMMYFUNCTION("""COMPUTED_VALUE"""),"luzdos")</f>
        <v>luzdos</v>
      </c>
      <c r="V542" s="18" t="str">
        <f>IFERROR(__xludf.DUMMYFUNCTION("""COMPUTED_VALUE"""),"paradigmas")</f>
        <v>paradigmas</v>
      </c>
      <c r="W542" s="18" t="str">
        <f>IFERROR(__xludf.DUMMYFUNCTION("""COMPUTED_VALUE"""),"da")</f>
        <v>da</v>
      </c>
      <c r="X542" s="18" t="str">
        <f>IFERROR(__xludf.DUMMYFUNCTION("""COMPUTED_VALUE"""),"Ciência")</f>
        <v>Ciência</v>
      </c>
      <c r="Y542" s="18" t="str">
        <f>IFERROR(__xludf.DUMMYFUNCTION("""COMPUTED_VALUE"""),"da")</f>
        <v>da</v>
      </c>
      <c r="Z542" s="18" t="str">
        <f>IFERROR(__xludf.DUMMYFUNCTION("""COMPUTED_VALUE"""),"Informação")</f>
        <v>Informação</v>
      </c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</row>
    <row r="543">
      <c r="A543" s="8"/>
      <c r="B543" s="23"/>
      <c r="C543" s="24"/>
      <c r="D543" s="24"/>
      <c r="E543" s="18"/>
      <c r="F543" s="18"/>
      <c r="G543" s="25">
        <f t="shared" ref="G543:I543" si="453">G542</f>
        <v>2021</v>
      </c>
      <c r="H543" s="20" t="str">
        <f t="shared" si="453"/>
        <v>pddudà2021</v>
      </c>
      <c r="I543" s="20" t="str">
        <f t="shared" si="453"/>
        <v>Privacidade de dados: Uma discussão à luzdos paradigmas da Ciência da Informação</v>
      </c>
      <c r="J543" s="20" t="str">
        <f t="shared" si="2"/>
        <v>Proteção de dados</v>
      </c>
      <c r="K543" s="20"/>
      <c r="L543" s="20" t="str">
        <f t="shared" si="3"/>
        <v>proteção de dados</v>
      </c>
      <c r="M543" s="18"/>
      <c r="N543" s="21" t="str">
        <f>IFERROR(__xludf.DUMMYFUNCTION("""COMPUTED_VALUE""")," Proteção de dados")</f>
        <v> Proteção de dados</v>
      </c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</row>
    <row r="544">
      <c r="A544" s="22"/>
      <c r="B544" s="23"/>
      <c r="C544" s="24"/>
      <c r="D544" s="24"/>
      <c r="E544" s="18"/>
      <c r="F544" s="18"/>
      <c r="G544" s="25">
        <f t="shared" ref="G544:I544" si="454">G543</f>
        <v>2021</v>
      </c>
      <c r="H544" s="20" t="str">
        <f t="shared" si="454"/>
        <v>pddudà2021</v>
      </c>
      <c r="I544" s="20" t="str">
        <f t="shared" si="454"/>
        <v>Privacidade de dados: Uma discussão à luzdos paradigmas da Ciência da Informação</v>
      </c>
      <c r="J544" s="20" t="str">
        <f t="shared" si="2"/>
        <v>Paradigmas da Ciência da Informação</v>
      </c>
      <c r="K544" s="20"/>
      <c r="L544" s="20" t="str">
        <f t="shared" si="3"/>
        <v>paradigmas da ciência da informação</v>
      </c>
      <c r="M544" s="18"/>
      <c r="N544" s="21" t="str">
        <f>IFERROR(__xludf.DUMMYFUNCTION("""COMPUTED_VALUE""")," Paradigmas da Ciência da Informação")</f>
        <v> Paradigmas da Ciência da Informação</v>
      </c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</row>
    <row r="545">
      <c r="A545" s="22"/>
      <c r="B545" s="23"/>
      <c r="C545" s="24"/>
      <c r="D545" s="24"/>
      <c r="E545" s="18"/>
      <c r="F545" s="18"/>
      <c r="G545" s="25">
        <f t="shared" ref="G545:I545" si="455">G544</f>
        <v>2021</v>
      </c>
      <c r="H545" s="20" t="str">
        <f t="shared" si="455"/>
        <v>pddudà2021</v>
      </c>
      <c r="I545" s="20" t="str">
        <f t="shared" si="455"/>
        <v>Privacidade de dados: Uma discussão à luzdos paradigmas da Ciência da Informação</v>
      </c>
      <c r="J545" s="20" t="str">
        <f t="shared" si="2"/>
        <v/>
      </c>
      <c r="K545" s="20"/>
      <c r="L545" s="20" t="str">
        <f t="shared" si="3"/>
        <v/>
      </c>
      <c r="M545" s="18"/>
      <c r="N545" s="21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</row>
    <row r="546">
      <c r="A546" s="22"/>
      <c r="B546" s="23"/>
      <c r="C546" s="24"/>
      <c r="D546" s="24"/>
      <c r="E546" s="18"/>
      <c r="F546" s="18"/>
      <c r="G546" s="25">
        <f t="shared" ref="G546:I546" si="456">G545</f>
        <v>2021</v>
      </c>
      <c r="H546" s="20" t="str">
        <f t="shared" si="456"/>
        <v>pddudà2021</v>
      </c>
      <c r="I546" s="20" t="str">
        <f t="shared" si="456"/>
        <v>Privacidade de dados: Uma discussão à luzdos paradigmas da Ciência da Informação</v>
      </c>
      <c r="J546" s="20" t="str">
        <f t="shared" si="2"/>
        <v/>
      </c>
      <c r="K546" s="20"/>
      <c r="L546" s="20" t="str">
        <f t="shared" si="3"/>
        <v/>
      </c>
      <c r="M546" s="18"/>
      <c r="N546" s="21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</row>
    <row r="547">
      <c r="A547" s="8"/>
      <c r="B547" s="23"/>
      <c r="C547" s="24"/>
      <c r="D547" s="24"/>
      <c r="E547" s="18"/>
      <c r="F547" s="18"/>
      <c r="G547" s="25">
        <f t="shared" ref="G547:I547" si="457">G546</f>
        <v>2021</v>
      </c>
      <c r="H547" s="20" t="str">
        <f t="shared" si="457"/>
        <v>pddudà2021</v>
      </c>
      <c r="I547" s="20" t="str">
        <f t="shared" si="457"/>
        <v>Privacidade de dados: Uma discussão à luzdos paradigmas da Ciência da Informação</v>
      </c>
      <c r="J547" s="20" t="str">
        <f t="shared" si="2"/>
        <v/>
      </c>
      <c r="K547" s="20"/>
      <c r="L547" s="20" t="str">
        <f t="shared" si="3"/>
        <v/>
      </c>
      <c r="M547" s="18"/>
      <c r="N547" s="21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</row>
    <row r="548">
      <c r="A548" s="8" t="s">
        <v>54</v>
      </c>
      <c r="B548" s="9">
        <v>2021.0</v>
      </c>
      <c r="C548" s="10" t="s">
        <v>236</v>
      </c>
      <c r="D548" s="10" t="s">
        <v>237</v>
      </c>
      <c r="E548" s="18"/>
      <c r="F548" s="18"/>
      <c r="G548" s="12">
        <f>B548</f>
        <v>2021</v>
      </c>
      <c r="H548" s="13" t="str">
        <f>LOWER(left(O548,1)&amp;left(P548,1)&amp;left(Q548,1)&amp;left(R548,1)&amp;left(S548,1)&amp;left(T548,1))&amp;G548</f>
        <v>mdeeac2021</v>
      </c>
      <c r="I548" s="20" t="str">
        <f>trim(C548)</f>
        <v>Modelos de ensino e aprendizagemde ciência de dados: em foco a área da Ciênciada Informação</v>
      </c>
      <c r="J548" s="20" t="str">
        <f t="shared" si="2"/>
        <v>ciência de dados</v>
      </c>
      <c r="K548" s="20"/>
      <c r="L548" s="20" t="str">
        <f t="shared" si="3"/>
        <v>ciência de dados</v>
      </c>
      <c r="M548" s="18"/>
      <c r="N548" s="21" t="str">
        <f>IFERROR(__xludf.DUMMYFUNCTION("TRANSPOSE(split(D548,"";"",true,true))"),"ciência de dados")</f>
        <v>ciência de dados</v>
      </c>
      <c r="O548" s="6" t="str">
        <f>IFERROR(__xludf.DUMMYFUNCTION("split(C548,"" "")"),"Modelos")</f>
        <v>Modelos</v>
      </c>
      <c r="P548" s="18" t="str">
        <f>IFERROR(__xludf.DUMMYFUNCTION("""COMPUTED_VALUE"""),"de")</f>
        <v>de</v>
      </c>
      <c r="Q548" s="18" t="str">
        <f>IFERROR(__xludf.DUMMYFUNCTION("""COMPUTED_VALUE"""),"ensino")</f>
        <v>ensino</v>
      </c>
      <c r="R548" s="18" t="str">
        <f>IFERROR(__xludf.DUMMYFUNCTION("""COMPUTED_VALUE"""),"e")</f>
        <v>e</v>
      </c>
      <c r="S548" s="18" t="str">
        <f>IFERROR(__xludf.DUMMYFUNCTION("""COMPUTED_VALUE"""),"aprendizagemde")</f>
        <v>aprendizagemde</v>
      </c>
      <c r="T548" s="18" t="str">
        <f>IFERROR(__xludf.DUMMYFUNCTION("""COMPUTED_VALUE"""),"ciência")</f>
        <v>ciência</v>
      </c>
      <c r="U548" s="18" t="str">
        <f>IFERROR(__xludf.DUMMYFUNCTION("""COMPUTED_VALUE"""),"de")</f>
        <v>de</v>
      </c>
      <c r="V548" s="18" t="str">
        <f>IFERROR(__xludf.DUMMYFUNCTION("""COMPUTED_VALUE"""),"dados:")</f>
        <v>dados:</v>
      </c>
      <c r="W548" s="18" t="str">
        <f>IFERROR(__xludf.DUMMYFUNCTION("""COMPUTED_VALUE"""),"em")</f>
        <v>em</v>
      </c>
      <c r="X548" s="18" t="str">
        <f>IFERROR(__xludf.DUMMYFUNCTION("""COMPUTED_VALUE"""),"foco")</f>
        <v>foco</v>
      </c>
      <c r="Y548" s="18" t="str">
        <f>IFERROR(__xludf.DUMMYFUNCTION("""COMPUTED_VALUE"""),"a")</f>
        <v>a</v>
      </c>
      <c r="Z548" s="18" t="str">
        <f>IFERROR(__xludf.DUMMYFUNCTION("""COMPUTED_VALUE"""),"área")</f>
        <v>área</v>
      </c>
      <c r="AA548" s="18" t="str">
        <f>IFERROR(__xludf.DUMMYFUNCTION("""COMPUTED_VALUE"""),"da")</f>
        <v>da</v>
      </c>
      <c r="AB548" s="18" t="str">
        <f>IFERROR(__xludf.DUMMYFUNCTION("""COMPUTED_VALUE"""),"Ciênciada")</f>
        <v>Ciênciada</v>
      </c>
      <c r="AC548" s="18" t="str">
        <f>IFERROR(__xludf.DUMMYFUNCTION("""COMPUTED_VALUE"""),"Informação")</f>
        <v>Informação</v>
      </c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</row>
    <row r="549">
      <c r="A549" s="8"/>
      <c r="B549" s="23"/>
      <c r="C549" s="24"/>
      <c r="D549" s="24"/>
      <c r="E549" s="18"/>
      <c r="F549" s="18"/>
      <c r="G549" s="25">
        <f t="shared" ref="G549:I549" si="458">G548</f>
        <v>2021</v>
      </c>
      <c r="H549" s="20" t="str">
        <f t="shared" si="458"/>
        <v>mdeeac2021</v>
      </c>
      <c r="I549" s="20" t="str">
        <f t="shared" si="458"/>
        <v>Modelos de ensino e aprendizagemde ciência de dados: em foco a área da Ciênciada Informação</v>
      </c>
      <c r="J549" s="20" t="str">
        <f t="shared" si="2"/>
        <v>ensino e aprendizagem</v>
      </c>
      <c r="K549" s="20"/>
      <c r="L549" s="20" t="str">
        <f t="shared" si="3"/>
        <v>ensino e aprendizagem</v>
      </c>
      <c r="M549" s="18"/>
      <c r="N549" s="21" t="str">
        <f>IFERROR(__xludf.DUMMYFUNCTION("""COMPUTED_VALUE""")," ensino e aprendizagem")</f>
        <v> ensino e aprendizagem</v>
      </c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</row>
    <row r="550">
      <c r="A550" s="22"/>
      <c r="B550" s="23"/>
      <c r="C550" s="24"/>
      <c r="D550" s="24"/>
      <c r="E550" s="18"/>
      <c r="F550" s="18"/>
      <c r="G550" s="25">
        <f t="shared" ref="G550:I550" si="459">G549</f>
        <v>2021</v>
      </c>
      <c r="H550" s="20" t="str">
        <f t="shared" si="459"/>
        <v>mdeeac2021</v>
      </c>
      <c r="I550" s="20" t="str">
        <f t="shared" si="459"/>
        <v>Modelos de ensino e aprendizagemde ciência de dados: em foco a área da Ciênciada Informação</v>
      </c>
      <c r="J550" s="20" t="str">
        <f t="shared" si="2"/>
        <v>modelos de currículo</v>
      </c>
      <c r="K550" s="20"/>
      <c r="L550" s="20" t="str">
        <f t="shared" si="3"/>
        <v>modelos de currículo</v>
      </c>
      <c r="M550" s="18"/>
      <c r="N550" s="21" t="str">
        <f>IFERROR(__xludf.DUMMYFUNCTION("""COMPUTED_VALUE""")," modelos de currículo")</f>
        <v> modelos de currículo</v>
      </c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</row>
    <row r="551">
      <c r="A551" s="22"/>
      <c r="B551" s="23"/>
      <c r="C551" s="24"/>
      <c r="D551" s="24"/>
      <c r="E551" s="18"/>
      <c r="F551" s="18"/>
      <c r="G551" s="25">
        <f t="shared" ref="G551:I551" si="460">G550</f>
        <v>2021</v>
      </c>
      <c r="H551" s="20" t="str">
        <f t="shared" si="460"/>
        <v>mdeeac2021</v>
      </c>
      <c r="I551" s="20" t="str">
        <f t="shared" si="460"/>
        <v>Modelos de ensino e aprendizagemde ciência de dados: em foco a área da Ciênciada Informação</v>
      </c>
      <c r="J551" s="20" t="str">
        <f t="shared" si="2"/>
        <v/>
      </c>
      <c r="K551" s="20"/>
      <c r="L551" s="20" t="str">
        <f t="shared" si="3"/>
        <v/>
      </c>
      <c r="M551" s="18"/>
      <c r="N551" s="21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</row>
    <row r="552">
      <c r="A552" s="22"/>
      <c r="B552" s="23"/>
      <c r="C552" s="24"/>
      <c r="D552" s="24"/>
      <c r="E552" s="18"/>
      <c r="F552" s="18"/>
      <c r="G552" s="25">
        <f t="shared" ref="G552:I552" si="461">G551</f>
        <v>2021</v>
      </c>
      <c r="H552" s="20" t="str">
        <f t="shared" si="461"/>
        <v>mdeeac2021</v>
      </c>
      <c r="I552" s="20" t="str">
        <f t="shared" si="461"/>
        <v>Modelos de ensino e aprendizagemde ciência de dados: em foco a área da Ciênciada Informação</v>
      </c>
      <c r="J552" s="20" t="str">
        <f t="shared" si="2"/>
        <v/>
      </c>
      <c r="K552" s="20"/>
      <c r="L552" s="20" t="str">
        <f t="shared" si="3"/>
        <v/>
      </c>
      <c r="M552" s="18"/>
      <c r="N552" s="21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</row>
    <row r="553">
      <c r="A553" s="8"/>
      <c r="B553" s="23"/>
      <c r="C553" s="24"/>
      <c r="D553" s="24"/>
      <c r="E553" s="18"/>
      <c r="F553" s="18"/>
      <c r="G553" s="25">
        <f t="shared" ref="G553:I553" si="462">G552</f>
        <v>2021</v>
      </c>
      <c r="H553" s="20" t="str">
        <f t="shared" si="462"/>
        <v>mdeeac2021</v>
      </c>
      <c r="I553" s="20" t="str">
        <f t="shared" si="462"/>
        <v>Modelos de ensino e aprendizagemde ciência de dados: em foco a área da Ciênciada Informação</v>
      </c>
      <c r="J553" s="20" t="str">
        <f t="shared" si="2"/>
        <v/>
      </c>
      <c r="K553" s="20"/>
      <c r="L553" s="20" t="str">
        <f t="shared" si="3"/>
        <v/>
      </c>
      <c r="M553" s="18"/>
      <c r="N553" s="21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</row>
    <row r="554">
      <c r="A554" s="8" t="s">
        <v>54</v>
      </c>
      <c r="B554" s="9">
        <v>2021.0</v>
      </c>
      <c r="C554" s="10" t="s">
        <v>238</v>
      </c>
      <c r="D554" s="10" t="s">
        <v>239</v>
      </c>
      <c r="E554" s="18"/>
      <c r="F554" s="18"/>
      <c r="G554" s="12">
        <f>B554</f>
        <v>2021</v>
      </c>
      <c r="H554" s="13" t="str">
        <f>LOWER(left(O554,1)&amp;left(P554,1)&amp;left(Q554,1)&amp;left(R554,1)&amp;left(S554,1)&amp;left(T554,1))&amp;G554</f>
        <v>cddnec2021</v>
      </c>
      <c r="I554" s="20" t="str">
        <f>trim(C554)</f>
        <v>Ciência de dados na educação: contribuições interdisciplinares</v>
      </c>
      <c r="J554" s="20" t="str">
        <f t="shared" si="2"/>
        <v>ciência de dados</v>
      </c>
      <c r="K554" s="20"/>
      <c r="L554" s="20" t="str">
        <f t="shared" si="3"/>
        <v>ciência de dados</v>
      </c>
      <c r="M554" s="18"/>
      <c r="N554" s="21" t="str">
        <f>IFERROR(__xludf.DUMMYFUNCTION("TRANSPOSE(split(D554,"";"",true,true))"),"ciência de dados")</f>
        <v>ciência de dados</v>
      </c>
      <c r="O554" s="6" t="str">
        <f>IFERROR(__xludf.DUMMYFUNCTION("split(C554,"" "")"),"Ciência")</f>
        <v>Ciência</v>
      </c>
      <c r="P554" s="18" t="str">
        <f>IFERROR(__xludf.DUMMYFUNCTION("""COMPUTED_VALUE"""),"de")</f>
        <v>de</v>
      </c>
      <c r="Q554" s="18" t="str">
        <f>IFERROR(__xludf.DUMMYFUNCTION("""COMPUTED_VALUE"""),"dados")</f>
        <v>dados</v>
      </c>
      <c r="R554" s="18" t="str">
        <f>IFERROR(__xludf.DUMMYFUNCTION("""COMPUTED_VALUE"""),"na")</f>
        <v>na</v>
      </c>
      <c r="S554" s="18" t="str">
        <f>IFERROR(__xludf.DUMMYFUNCTION("""COMPUTED_VALUE"""),"educação:")</f>
        <v>educação:</v>
      </c>
      <c r="T554" s="18" t="str">
        <f>IFERROR(__xludf.DUMMYFUNCTION("""COMPUTED_VALUE"""),"contribuições")</f>
        <v>contribuições</v>
      </c>
      <c r="U554" s="18" t="str">
        <f>IFERROR(__xludf.DUMMYFUNCTION("""COMPUTED_VALUE"""),"interdisciplinares")</f>
        <v>interdisciplinares</v>
      </c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</row>
    <row r="555">
      <c r="A555" s="22"/>
      <c r="B555" s="23"/>
      <c r="C555" s="24"/>
      <c r="D555" s="24"/>
      <c r="E555" s="18"/>
      <c r="F555" s="18"/>
      <c r="G555" s="25">
        <f t="shared" ref="G555:I555" si="463">G554</f>
        <v>2021</v>
      </c>
      <c r="H555" s="20" t="str">
        <f t="shared" si="463"/>
        <v>cddnec2021</v>
      </c>
      <c r="I555" s="20" t="str">
        <f t="shared" si="463"/>
        <v>Ciência de dados na educação: contribuições interdisciplinares</v>
      </c>
      <c r="J555" s="20" t="str">
        <f t="shared" si="2"/>
        <v>educação</v>
      </c>
      <c r="K555" s="20"/>
      <c r="L555" s="20" t="str">
        <f t="shared" si="3"/>
        <v>educação</v>
      </c>
      <c r="M555" s="18"/>
      <c r="N555" s="21" t="str">
        <f>IFERROR(__xludf.DUMMYFUNCTION("""COMPUTED_VALUE""")," educação")</f>
        <v> educação</v>
      </c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</row>
    <row r="556">
      <c r="A556" s="22"/>
      <c r="B556" s="23"/>
      <c r="C556" s="24"/>
      <c r="D556" s="24"/>
      <c r="E556" s="18"/>
      <c r="F556" s="18"/>
      <c r="G556" s="25">
        <f t="shared" ref="G556:I556" si="464">G555</f>
        <v>2021</v>
      </c>
      <c r="H556" s="20" t="str">
        <f t="shared" si="464"/>
        <v>cddnec2021</v>
      </c>
      <c r="I556" s="20" t="str">
        <f t="shared" si="464"/>
        <v>Ciência de dados na educação: contribuições interdisciplinares</v>
      </c>
      <c r="J556" s="20" t="str">
        <f t="shared" si="2"/>
        <v>aprendizado de máquina</v>
      </c>
      <c r="K556" s="20"/>
      <c r="L556" s="20" t="str">
        <f t="shared" si="3"/>
        <v>aprendizado de máquina</v>
      </c>
      <c r="M556" s="18"/>
      <c r="N556" s="21" t="str">
        <f>IFERROR(__xludf.DUMMYFUNCTION("""COMPUTED_VALUE""")," aprendizado de máquina")</f>
        <v> aprendizado de máquina</v>
      </c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</row>
    <row r="557">
      <c r="A557" s="22"/>
      <c r="B557" s="23"/>
      <c r="C557" s="24"/>
      <c r="D557" s="24"/>
      <c r="E557" s="18"/>
      <c r="F557" s="18"/>
      <c r="G557" s="25">
        <f t="shared" ref="G557:I557" si="465">G556</f>
        <v>2021</v>
      </c>
      <c r="H557" s="20" t="str">
        <f t="shared" si="465"/>
        <v>cddnec2021</v>
      </c>
      <c r="I557" s="20" t="str">
        <f t="shared" si="465"/>
        <v>Ciência de dados na educação: contribuições interdisciplinares</v>
      </c>
      <c r="J557" s="20" t="str">
        <f t="shared" si="2"/>
        <v>ciência da in-formação</v>
      </c>
      <c r="K557" s="20"/>
      <c r="L557" s="20" t="str">
        <f t="shared" si="3"/>
        <v>ciência da in-formação</v>
      </c>
      <c r="M557" s="18"/>
      <c r="N557" s="21" t="str">
        <f>IFERROR(__xludf.DUMMYFUNCTION("""COMPUTED_VALUE""")," ciência da in-formação")</f>
        <v> ciência da in-formação</v>
      </c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</row>
    <row r="558">
      <c r="A558" s="22"/>
      <c r="B558" s="23"/>
      <c r="C558" s="24"/>
      <c r="D558" s="24"/>
      <c r="E558" s="18"/>
      <c r="F558" s="18"/>
      <c r="G558" s="25">
        <f t="shared" ref="G558:I558" si="466">G557</f>
        <v>2021</v>
      </c>
      <c r="H558" s="20" t="str">
        <f t="shared" si="466"/>
        <v>cddnec2021</v>
      </c>
      <c r="I558" s="20" t="str">
        <f t="shared" si="466"/>
        <v>Ciência de dados na educação: contribuições interdisciplinares</v>
      </c>
      <c r="J558" s="20" t="str">
        <f t="shared" si="2"/>
        <v>interdisciplinaridade</v>
      </c>
      <c r="K558" s="20"/>
      <c r="L558" s="20" t="str">
        <f t="shared" si="3"/>
        <v>interdisciplinaridade</v>
      </c>
      <c r="M558" s="18"/>
      <c r="N558" s="21" t="str">
        <f>IFERROR(__xludf.DUMMYFUNCTION("""COMPUTED_VALUE""")," interdisciplinaridade")</f>
        <v> interdisciplinaridade</v>
      </c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</row>
    <row r="559">
      <c r="A559" s="8"/>
      <c r="B559" s="23"/>
      <c r="C559" s="24"/>
      <c r="D559" s="24"/>
      <c r="E559" s="18"/>
      <c r="F559" s="18"/>
      <c r="G559" s="25">
        <f t="shared" ref="G559:I559" si="467">G558</f>
        <v>2021</v>
      </c>
      <c r="H559" s="20" t="str">
        <f t="shared" si="467"/>
        <v>cddnec2021</v>
      </c>
      <c r="I559" s="20" t="str">
        <f t="shared" si="467"/>
        <v>Ciência de dados na educação: contribuições interdisciplinares</v>
      </c>
      <c r="J559" s="20" t="str">
        <f t="shared" si="2"/>
        <v/>
      </c>
      <c r="K559" s="20"/>
      <c r="L559" s="20" t="str">
        <f t="shared" si="3"/>
        <v/>
      </c>
      <c r="M559" s="18"/>
      <c r="N559" s="21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</row>
    <row r="560">
      <c r="A560" s="8" t="s">
        <v>54</v>
      </c>
      <c r="B560" s="9">
        <v>2021.0</v>
      </c>
      <c r="C560" s="10" t="s">
        <v>240</v>
      </c>
      <c r="D560" s="10" t="s">
        <v>241</v>
      </c>
      <c r="E560" s="18"/>
      <c r="F560" s="18"/>
      <c r="G560" s="12">
        <f>B560</f>
        <v>2021</v>
      </c>
      <c r="H560" s="13" t="str">
        <f>LOWER(left(O560,1)&amp;left(P560,1)&amp;left(Q560,1)&amp;left(R560,1)&amp;left(S560,1)&amp;left(T560,1))&amp;G560</f>
        <v>pdqpde2021</v>
      </c>
      <c r="I560" s="20" t="str">
        <f>trim(C560)</f>
        <v>Padrões de qualidade para dados e metadados endereçados a aplicações em ciência de dados</v>
      </c>
      <c r="J560" s="20" t="str">
        <f t="shared" si="2"/>
        <v>Bases de Dados em Rede</v>
      </c>
      <c r="K560" s="20"/>
      <c r="L560" s="20" t="str">
        <f t="shared" si="3"/>
        <v>bases de dados em rede</v>
      </c>
      <c r="M560" s="18"/>
      <c r="N560" s="21" t="str">
        <f>IFERROR(__xludf.DUMMYFUNCTION("TRANSPOSE(split(D560,"";"",true,true))"),"Bases  de  Dados  em  Rede")</f>
        <v>Bases  de  Dados  em  Rede</v>
      </c>
      <c r="O560" s="6" t="str">
        <f>IFERROR(__xludf.DUMMYFUNCTION("split(C560,"" "")"),"Padrões")</f>
        <v>Padrões</v>
      </c>
      <c r="P560" s="18" t="str">
        <f>IFERROR(__xludf.DUMMYFUNCTION("""COMPUTED_VALUE"""),"de")</f>
        <v>de</v>
      </c>
      <c r="Q560" s="18" t="str">
        <f>IFERROR(__xludf.DUMMYFUNCTION("""COMPUTED_VALUE"""),"qualidade")</f>
        <v>qualidade</v>
      </c>
      <c r="R560" s="18" t="str">
        <f>IFERROR(__xludf.DUMMYFUNCTION("""COMPUTED_VALUE"""),"para")</f>
        <v>para</v>
      </c>
      <c r="S560" s="18" t="str">
        <f>IFERROR(__xludf.DUMMYFUNCTION("""COMPUTED_VALUE"""),"dados")</f>
        <v>dados</v>
      </c>
      <c r="T560" s="18" t="str">
        <f>IFERROR(__xludf.DUMMYFUNCTION("""COMPUTED_VALUE"""),"e")</f>
        <v>e</v>
      </c>
      <c r="U560" s="18" t="str">
        <f>IFERROR(__xludf.DUMMYFUNCTION("""COMPUTED_VALUE"""),"metadados")</f>
        <v>metadados</v>
      </c>
      <c r="V560" s="18" t="str">
        <f>IFERROR(__xludf.DUMMYFUNCTION("""COMPUTED_VALUE"""),"endereçados")</f>
        <v>endereçados</v>
      </c>
      <c r="W560" s="18" t="str">
        <f>IFERROR(__xludf.DUMMYFUNCTION("""COMPUTED_VALUE"""),"a")</f>
        <v>a</v>
      </c>
      <c r="X560" s="18" t="str">
        <f>IFERROR(__xludf.DUMMYFUNCTION("""COMPUTED_VALUE"""),"aplicações")</f>
        <v>aplicações</v>
      </c>
      <c r="Y560" s="18" t="str">
        <f>IFERROR(__xludf.DUMMYFUNCTION("""COMPUTED_VALUE"""),"em")</f>
        <v>em</v>
      </c>
      <c r="Z560" s="18" t="str">
        <f>IFERROR(__xludf.DUMMYFUNCTION("""COMPUTED_VALUE"""),"ciência")</f>
        <v>ciência</v>
      </c>
      <c r="AA560" s="18" t="str">
        <f>IFERROR(__xludf.DUMMYFUNCTION("""COMPUTED_VALUE"""),"de")</f>
        <v>de</v>
      </c>
      <c r="AB560" s="18" t="str">
        <f>IFERROR(__xludf.DUMMYFUNCTION("""COMPUTED_VALUE"""),"dados")</f>
        <v>dados</v>
      </c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</row>
    <row r="561">
      <c r="A561" s="22"/>
      <c r="B561" s="23"/>
      <c r="C561" s="24"/>
      <c r="D561" s="24"/>
      <c r="E561" s="18"/>
      <c r="F561" s="18"/>
      <c r="G561" s="25">
        <f t="shared" ref="G561:I561" si="468">G560</f>
        <v>2021</v>
      </c>
      <c r="H561" s="20" t="str">
        <f t="shared" si="468"/>
        <v>pdqpde2021</v>
      </c>
      <c r="I561" s="20" t="str">
        <f t="shared" si="468"/>
        <v>Padrões de qualidade para dados e metadados endereçados a aplicações em ciência de dados</v>
      </c>
      <c r="J561" s="20" t="str">
        <f t="shared" si="2"/>
        <v>Metadados</v>
      </c>
      <c r="K561" s="20"/>
      <c r="L561" s="20" t="str">
        <f t="shared" si="3"/>
        <v>metadados</v>
      </c>
      <c r="M561" s="18"/>
      <c r="N561" s="21" t="str">
        <f>IFERROR(__xludf.DUMMYFUNCTION("""COMPUTED_VALUE"""),"  Metadados")</f>
        <v>  Metadados</v>
      </c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</row>
    <row r="562">
      <c r="A562" s="22"/>
      <c r="B562" s="23"/>
      <c r="C562" s="24"/>
      <c r="D562" s="24"/>
      <c r="E562" s="18"/>
      <c r="F562" s="18"/>
      <c r="G562" s="25">
        <f t="shared" ref="G562:I562" si="469">G561</f>
        <v>2021</v>
      </c>
      <c r="H562" s="20" t="str">
        <f t="shared" si="469"/>
        <v>pdqpde2021</v>
      </c>
      <c r="I562" s="20" t="str">
        <f t="shared" si="469"/>
        <v>Padrões de qualidade para dados e metadados endereçados a aplicações em ciência de dados</v>
      </c>
      <c r="J562" s="20" t="str">
        <f t="shared" si="2"/>
        <v>Qualidade de Metadados</v>
      </c>
      <c r="K562" s="20"/>
      <c r="L562" s="20" t="str">
        <f t="shared" si="3"/>
        <v>qualidade de metadados</v>
      </c>
      <c r="M562" s="18"/>
      <c r="N562" s="21" t="str">
        <f>IFERROR(__xludf.DUMMYFUNCTION("""COMPUTED_VALUE"""),"  Qualidade  de  Metadados")</f>
        <v>  Qualidade  de  Metadados</v>
      </c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</row>
    <row r="563">
      <c r="A563" s="22"/>
      <c r="B563" s="23"/>
      <c r="C563" s="24"/>
      <c r="D563" s="24"/>
      <c r="E563" s="18"/>
      <c r="F563" s="18"/>
      <c r="G563" s="25">
        <f t="shared" ref="G563:I563" si="470">G562</f>
        <v>2021</v>
      </c>
      <c r="H563" s="20" t="str">
        <f t="shared" si="470"/>
        <v>pdqpde2021</v>
      </c>
      <c r="I563" s="20" t="str">
        <f t="shared" si="470"/>
        <v>Padrões de qualidade para dados e metadados endereçados a aplicações em ciência de dados</v>
      </c>
      <c r="J563" s="20" t="str">
        <f t="shared" si="2"/>
        <v>Ciência de Dados</v>
      </c>
      <c r="K563" s="20"/>
      <c r="L563" s="20" t="str">
        <f t="shared" si="3"/>
        <v>ciência de dados</v>
      </c>
      <c r="M563" s="18"/>
      <c r="N563" s="21" t="str">
        <f>IFERROR(__xludf.DUMMYFUNCTION("""COMPUTED_VALUE"""),"  Ciência de Dados")</f>
        <v>  Ciência de Dados</v>
      </c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</row>
    <row r="564">
      <c r="A564" s="22"/>
      <c r="B564" s="23"/>
      <c r="C564" s="24"/>
      <c r="D564" s="24"/>
      <c r="E564" s="18"/>
      <c r="F564" s="18"/>
      <c r="G564" s="25">
        <f t="shared" ref="G564:I564" si="471">G563</f>
        <v>2021</v>
      </c>
      <c r="H564" s="20" t="str">
        <f t="shared" si="471"/>
        <v>pdqpde2021</v>
      </c>
      <c r="I564" s="20" t="str">
        <f t="shared" si="471"/>
        <v>Padrões de qualidade para dados e metadados endereçados a aplicações em ciência de dados</v>
      </c>
      <c r="J564" s="20" t="str">
        <f t="shared" si="2"/>
        <v>Ciência da Informação</v>
      </c>
      <c r="K564" s="20"/>
      <c r="L564" s="20" t="str">
        <f t="shared" si="3"/>
        <v>ciência da informação</v>
      </c>
      <c r="M564" s="18"/>
      <c r="N564" s="21" t="str">
        <f>IFERROR(__xludf.DUMMYFUNCTION("""COMPUTED_VALUE""")," Ciência da Informação")</f>
        <v> Ciência da Informação</v>
      </c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</row>
    <row r="565">
      <c r="A565" s="8"/>
      <c r="B565" s="23"/>
      <c r="C565" s="24"/>
      <c r="D565" s="24"/>
      <c r="E565" s="18"/>
      <c r="F565" s="18"/>
      <c r="G565" s="25">
        <f t="shared" ref="G565:I565" si="472">G564</f>
        <v>2021</v>
      </c>
      <c r="H565" s="20" t="str">
        <f t="shared" si="472"/>
        <v>pdqpde2021</v>
      </c>
      <c r="I565" s="20" t="str">
        <f t="shared" si="472"/>
        <v>Padrões de qualidade para dados e metadados endereçados a aplicações em ciência de dados</v>
      </c>
      <c r="J565" s="20" t="str">
        <f t="shared" si="2"/>
        <v/>
      </c>
      <c r="K565" s="20"/>
      <c r="L565" s="20" t="str">
        <f t="shared" si="3"/>
        <v/>
      </c>
      <c r="M565" s="18"/>
      <c r="N565" s="21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</row>
    <row r="566">
      <c r="A566" s="8" t="s">
        <v>54</v>
      </c>
      <c r="B566" s="9">
        <v>2021.0</v>
      </c>
      <c r="C566" s="10" t="s">
        <v>242</v>
      </c>
      <c r="D566" s="10" t="s">
        <v>243</v>
      </c>
      <c r="E566" s="18"/>
      <c r="F566" s="18"/>
      <c r="G566" s="12">
        <f>B566</f>
        <v>2021</v>
      </c>
      <c r="H566" s="13" t="str">
        <f>LOWER(left(O566,1)&amp;left(P566,1)&amp;left(Q566,1)&amp;left(R566,1)&amp;left(S566,1)&amp;left(T566,1))&amp;G566</f>
        <v>cddpad2021</v>
      </c>
      <c r="I566" s="20" t="str">
        <f>trim(C566)</f>
        <v>Coleta de dados para agregação de repositórios digitais: Entidades vinculadas à Secretaria Especial de Cultura do Brasil</v>
      </c>
      <c r="J566" s="20" t="str">
        <f t="shared" si="2"/>
        <v>Ciência de dados</v>
      </c>
      <c r="K566" s="20"/>
      <c r="L566" s="20" t="str">
        <f t="shared" si="3"/>
        <v>ciência de dados</v>
      </c>
      <c r="M566" s="18"/>
      <c r="N566" s="21" t="str">
        <f>IFERROR(__xludf.DUMMYFUNCTION("TRANSPOSE(split(D566,"";"",true,true))"),"Ciência de dados")</f>
        <v>Ciência de dados</v>
      </c>
      <c r="O566" s="6" t="str">
        <f>IFERROR(__xludf.DUMMYFUNCTION("split(C566,"" "")"),"Coleta")</f>
        <v>Coleta</v>
      </c>
      <c r="P566" s="18" t="str">
        <f>IFERROR(__xludf.DUMMYFUNCTION("""COMPUTED_VALUE"""),"de")</f>
        <v>de</v>
      </c>
      <c r="Q566" s="18" t="str">
        <f>IFERROR(__xludf.DUMMYFUNCTION("""COMPUTED_VALUE"""),"dados")</f>
        <v>dados</v>
      </c>
      <c r="R566" s="18" t="str">
        <f>IFERROR(__xludf.DUMMYFUNCTION("""COMPUTED_VALUE"""),"para")</f>
        <v>para</v>
      </c>
      <c r="S566" s="18" t="str">
        <f>IFERROR(__xludf.DUMMYFUNCTION("""COMPUTED_VALUE"""),"agregação")</f>
        <v>agregação</v>
      </c>
      <c r="T566" s="18" t="str">
        <f>IFERROR(__xludf.DUMMYFUNCTION("""COMPUTED_VALUE"""),"de")</f>
        <v>de</v>
      </c>
      <c r="U566" s="18" t="str">
        <f>IFERROR(__xludf.DUMMYFUNCTION("""COMPUTED_VALUE"""),"repositórios")</f>
        <v>repositórios</v>
      </c>
      <c r="V566" s="18" t="str">
        <f>IFERROR(__xludf.DUMMYFUNCTION("""COMPUTED_VALUE"""),"digitais:")</f>
        <v>digitais:</v>
      </c>
      <c r="W566" s="18" t="str">
        <f>IFERROR(__xludf.DUMMYFUNCTION("""COMPUTED_VALUE"""),"Entidades")</f>
        <v>Entidades</v>
      </c>
      <c r="X566" s="18" t="str">
        <f>IFERROR(__xludf.DUMMYFUNCTION("""COMPUTED_VALUE"""),"vinculadas")</f>
        <v>vinculadas</v>
      </c>
      <c r="Y566" s="18" t="str">
        <f>IFERROR(__xludf.DUMMYFUNCTION("""COMPUTED_VALUE"""),"à")</f>
        <v>à</v>
      </c>
      <c r="Z566" s="18" t="str">
        <f>IFERROR(__xludf.DUMMYFUNCTION("""COMPUTED_VALUE"""),"Secretaria")</f>
        <v>Secretaria</v>
      </c>
      <c r="AA566" s="18" t="str">
        <f>IFERROR(__xludf.DUMMYFUNCTION("""COMPUTED_VALUE"""),"Especial")</f>
        <v>Especial</v>
      </c>
      <c r="AB566" s="18" t="str">
        <f>IFERROR(__xludf.DUMMYFUNCTION("""COMPUTED_VALUE"""),"de")</f>
        <v>de</v>
      </c>
      <c r="AC566" s="18" t="str">
        <f>IFERROR(__xludf.DUMMYFUNCTION("""COMPUTED_VALUE"""),"Cultura")</f>
        <v>Cultura</v>
      </c>
      <c r="AD566" s="18" t="str">
        <f>IFERROR(__xludf.DUMMYFUNCTION("""COMPUTED_VALUE"""),"do")</f>
        <v>do</v>
      </c>
      <c r="AE566" s="18" t="str">
        <f>IFERROR(__xludf.DUMMYFUNCTION("""COMPUTED_VALUE"""),"Brasil")</f>
        <v>Brasil</v>
      </c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</row>
    <row r="567">
      <c r="A567" s="22"/>
      <c r="B567" s="23"/>
      <c r="C567" s="24"/>
      <c r="D567" s="24"/>
      <c r="E567" s="18"/>
      <c r="F567" s="18"/>
      <c r="G567" s="25">
        <f t="shared" ref="G567:I567" si="473">G566</f>
        <v>2021</v>
      </c>
      <c r="H567" s="20" t="str">
        <f t="shared" si="473"/>
        <v>cddpad2021</v>
      </c>
      <c r="I567" s="20" t="str">
        <f t="shared" si="473"/>
        <v>Coleta de dados para agregação de repositórios digitais: Entidades vinculadas à Secretaria Especial de Cultura do Brasil</v>
      </c>
      <c r="J567" s="20" t="str">
        <f t="shared" si="2"/>
        <v>Ciência da Informação</v>
      </c>
      <c r="K567" s="20"/>
      <c r="L567" s="20" t="str">
        <f t="shared" si="3"/>
        <v>ciência da informação</v>
      </c>
      <c r="M567" s="18"/>
      <c r="N567" s="21" t="str">
        <f>IFERROR(__xludf.DUMMYFUNCTION("""COMPUTED_VALUE""")," Ciência da Informação")</f>
        <v> Ciência da Informação</v>
      </c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</row>
    <row r="568">
      <c r="A568" s="22"/>
      <c r="B568" s="23"/>
      <c r="C568" s="24"/>
      <c r="D568" s="24"/>
      <c r="E568" s="18"/>
      <c r="F568" s="18"/>
      <c r="G568" s="25">
        <f t="shared" ref="G568:I568" si="474">G567</f>
        <v>2021</v>
      </c>
      <c r="H568" s="20" t="str">
        <f t="shared" si="474"/>
        <v>cddpad2021</v>
      </c>
      <c r="I568" s="20" t="str">
        <f t="shared" si="474"/>
        <v>Coleta de dados para agregação de repositórios digitais: Entidades vinculadas à Secretaria Especial de Cultura do Brasil</v>
      </c>
      <c r="J568" s="20" t="str">
        <f t="shared" si="2"/>
        <v>Repositórios digitais</v>
      </c>
      <c r="K568" s="20"/>
      <c r="L568" s="20" t="str">
        <f t="shared" si="3"/>
        <v>repositórios digitais</v>
      </c>
      <c r="M568" s="18"/>
      <c r="N568" s="21" t="str">
        <f>IFERROR(__xludf.DUMMYFUNCTION("""COMPUTED_VALUE""")," Repositórios digitais")</f>
        <v> Repositórios digitais</v>
      </c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</row>
    <row r="569">
      <c r="A569" s="22"/>
      <c r="B569" s="23"/>
      <c r="C569" s="24"/>
      <c r="D569" s="24"/>
      <c r="E569" s="18"/>
      <c r="F569" s="18"/>
      <c r="G569" s="25">
        <f t="shared" ref="G569:I569" si="475">G568</f>
        <v>2021</v>
      </c>
      <c r="H569" s="20" t="str">
        <f t="shared" si="475"/>
        <v>cddpad2021</v>
      </c>
      <c r="I569" s="20" t="str">
        <f t="shared" si="475"/>
        <v>Coleta de dados para agregação de repositórios digitais: Entidades vinculadas à Secretaria Especial de Cultura do Brasil</v>
      </c>
      <c r="J569" s="20" t="str">
        <f t="shared" si="2"/>
        <v>Instituições culturais</v>
      </c>
      <c r="K569" s="20"/>
      <c r="L569" s="20" t="str">
        <f t="shared" si="3"/>
        <v>instituições culturais</v>
      </c>
      <c r="M569" s="18"/>
      <c r="N569" s="21" t="str">
        <f>IFERROR(__xludf.DUMMYFUNCTION("""COMPUTED_VALUE""")," Instituições culturais")</f>
        <v> Instituições culturais</v>
      </c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</row>
    <row r="570">
      <c r="A570" s="22"/>
      <c r="B570" s="23"/>
      <c r="C570" s="24"/>
      <c r="D570" s="24"/>
      <c r="E570" s="18"/>
      <c r="F570" s="18"/>
      <c r="G570" s="25">
        <f t="shared" ref="G570:I570" si="476">G569</f>
        <v>2021</v>
      </c>
      <c r="H570" s="20" t="str">
        <f t="shared" si="476"/>
        <v>cddpad2021</v>
      </c>
      <c r="I570" s="20" t="str">
        <f t="shared" si="476"/>
        <v>Coleta de dados para agregação de repositórios digitais: Entidades vinculadas à Secretaria Especial de Cultura do Brasil</v>
      </c>
      <c r="J570" s="20" t="str">
        <f t="shared" si="2"/>
        <v>Reuso</v>
      </c>
      <c r="K570" s="20"/>
      <c r="L570" s="20" t="str">
        <f t="shared" si="3"/>
        <v>reuso</v>
      </c>
      <c r="M570" s="18"/>
      <c r="N570" s="21" t="str">
        <f>IFERROR(__xludf.DUMMYFUNCTION("""COMPUTED_VALUE""")," Reuso")</f>
        <v> Reuso</v>
      </c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</row>
    <row r="571">
      <c r="A571" s="8"/>
      <c r="B571" s="23"/>
      <c r="C571" s="24"/>
      <c r="D571" s="24"/>
      <c r="E571" s="18"/>
      <c r="F571" s="18"/>
      <c r="G571" s="25">
        <f t="shared" ref="G571:I571" si="477">G570</f>
        <v>2021</v>
      </c>
      <c r="H571" s="20" t="str">
        <f t="shared" si="477"/>
        <v>cddpad2021</v>
      </c>
      <c r="I571" s="20" t="str">
        <f t="shared" si="477"/>
        <v>Coleta de dados para agregação de repositórios digitais: Entidades vinculadas à Secretaria Especial de Cultura do Brasil</v>
      </c>
      <c r="J571" s="20" t="str">
        <f t="shared" si="2"/>
        <v/>
      </c>
      <c r="K571" s="20"/>
      <c r="L571" s="20" t="str">
        <f t="shared" si="3"/>
        <v/>
      </c>
      <c r="M571" s="18"/>
      <c r="N571" s="21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</row>
    <row r="572">
      <c r="A572" s="8" t="s">
        <v>54</v>
      </c>
      <c r="B572" s="9">
        <v>2021.0</v>
      </c>
      <c r="C572" s="10" t="s">
        <v>244</v>
      </c>
      <c r="D572" s="10" t="s">
        <v>245</v>
      </c>
      <c r="E572" s="18"/>
      <c r="F572" s="18"/>
      <c r="G572" s="12">
        <f>B572</f>
        <v>2021</v>
      </c>
      <c r="H572" s="13" t="str">
        <f>LOWER(left(O572,1)&amp;left(P572,1)&amp;left(Q572,1)&amp;left(R572,1)&amp;left(S572,1)&amp;left(T572,1))&amp;G572</f>
        <v>mdmntn2021</v>
      </c>
      <c r="I572" s="20" t="str">
        <f>trim(C572)</f>
        <v>Mapeamento de metadados no Tainacan: nova funcionalidade para os museus digitais vinculados ao Instituto Brasileiro de Museus</v>
      </c>
      <c r="J572" s="20" t="str">
        <f t="shared" si="2"/>
        <v>Tainacan</v>
      </c>
      <c r="K572" s="20"/>
      <c r="L572" s="20" t="str">
        <f t="shared" si="3"/>
        <v>tainacan</v>
      </c>
      <c r="M572" s="18"/>
      <c r="N572" s="21" t="str">
        <f>IFERROR(__xludf.DUMMYFUNCTION("TRANSPOSE(split(D572,"";"",true,true))"),"Tainacan")</f>
        <v>Tainacan</v>
      </c>
      <c r="O572" s="6" t="str">
        <f>IFERROR(__xludf.DUMMYFUNCTION("split(C572,"" "")"),"Mapeamento")</f>
        <v>Mapeamento</v>
      </c>
      <c r="P572" s="18" t="str">
        <f>IFERROR(__xludf.DUMMYFUNCTION("""COMPUTED_VALUE"""),"de")</f>
        <v>de</v>
      </c>
      <c r="Q572" s="18" t="str">
        <f>IFERROR(__xludf.DUMMYFUNCTION("""COMPUTED_VALUE"""),"metadados")</f>
        <v>metadados</v>
      </c>
      <c r="R572" s="18" t="str">
        <f>IFERROR(__xludf.DUMMYFUNCTION("""COMPUTED_VALUE"""),"no")</f>
        <v>no</v>
      </c>
      <c r="S572" s="18" t="str">
        <f>IFERROR(__xludf.DUMMYFUNCTION("""COMPUTED_VALUE"""),"Tainacan:")</f>
        <v>Tainacan:</v>
      </c>
      <c r="T572" s="18" t="str">
        <f>IFERROR(__xludf.DUMMYFUNCTION("""COMPUTED_VALUE"""),"nova")</f>
        <v>nova</v>
      </c>
      <c r="U572" s="18" t="str">
        <f>IFERROR(__xludf.DUMMYFUNCTION("""COMPUTED_VALUE"""),"funcionalidade")</f>
        <v>funcionalidade</v>
      </c>
      <c r="V572" s="18" t="str">
        <f>IFERROR(__xludf.DUMMYFUNCTION("""COMPUTED_VALUE"""),"para")</f>
        <v>para</v>
      </c>
      <c r="W572" s="18" t="str">
        <f>IFERROR(__xludf.DUMMYFUNCTION("""COMPUTED_VALUE"""),"os")</f>
        <v>os</v>
      </c>
      <c r="X572" s="18" t="str">
        <f>IFERROR(__xludf.DUMMYFUNCTION("""COMPUTED_VALUE"""),"museus")</f>
        <v>museus</v>
      </c>
      <c r="Y572" s="18" t="str">
        <f>IFERROR(__xludf.DUMMYFUNCTION("""COMPUTED_VALUE"""),"digitais")</f>
        <v>digitais</v>
      </c>
      <c r="Z572" s="18" t="str">
        <f>IFERROR(__xludf.DUMMYFUNCTION("""COMPUTED_VALUE"""),"vinculados")</f>
        <v>vinculados</v>
      </c>
      <c r="AA572" s="18" t="str">
        <f>IFERROR(__xludf.DUMMYFUNCTION("""COMPUTED_VALUE"""),"ao")</f>
        <v>ao</v>
      </c>
      <c r="AB572" s="18" t="str">
        <f>IFERROR(__xludf.DUMMYFUNCTION("""COMPUTED_VALUE"""),"Instituto")</f>
        <v>Instituto</v>
      </c>
      <c r="AC572" s="18" t="str">
        <f>IFERROR(__xludf.DUMMYFUNCTION("""COMPUTED_VALUE"""),"Brasileiro")</f>
        <v>Brasileiro</v>
      </c>
      <c r="AD572" s="18" t="str">
        <f>IFERROR(__xludf.DUMMYFUNCTION("""COMPUTED_VALUE"""),"de")</f>
        <v>de</v>
      </c>
      <c r="AE572" s="18" t="str">
        <f>IFERROR(__xludf.DUMMYFUNCTION("""COMPUTED_VALUE"""),"Museus")</f>
        <v>Museus</v>
      </c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</row>
    <row r="573">
      <c r="A573" s="22"/>
      <c r="B573" s="23"/>
      <c r="C573" s="24"/>
      <c r="D573" s="24"/>
      <c r="E573" s="18"/>
      <c r="F573" s="18"/>
      <c r="G573" s="25">
        <f t="shared" ref="G573:I573" si="478">G572</f>
        <v>2021</v>
      </c>
      <c r="H573" s="20" t="str">
        <f t="shared" si="478"/>
        <v>mdmntn2021</v>
      </c>
      <c r="I573" s="20" t="str">
        <f t="shared" si="478"/>
        <v>Mapeamento de metadados no Tainacan: nova funcionalidade para os museus digitais vinculados ao Instituto Brasileiro de Museus</v>
      </c>
      <c r="J573" s="20" t="str">
        <f t="shared" si="2"/>
        <v>Brasiliana Museus</v>
      </c>
      <c r="K573" s="20"/>
      <c r="L573" s="20" t="str">
        <f t="shared" si="3"/>
        <v>brasiliana museus</v>
      </c>
      <c r="M573" s="18"/>
      <c r="N573" s="21" t="str">
        <f>IFERROR(__xludf.DUMMYFUNCTION("""COMPUTED_VALUE""")," Brasiliana Museus")</f>
        <v> Brasiliana Museus</v>
      </c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</row>
    <row r="574">
      <c r="A574" s="22"/>
      <c r="B574" s="23"/>
      <c r="C574" s="24"/>
      <c r="D574" s="24"/>
      <c r="E574" s="18"/>
      <c r="F574" s="18"/>
      <c r="G574" s="25">
        <f t="shared" ref="G574:I574" si="479">G573</f>
        <v>2021</v>
      </c>
      <c r="H574" s="20" t="str">
        <f t="shared" si="479"/>
        <v>mdmntn2021</v>
      </c>
      <c r="I574" s="20" t="str">
        <f t="shared" si="479"/>
        <v>Mapeamento de metadados no Tainacan: nova funcionalidade para os museus digitais vinculados ao Instituto Brasileiro de Museus</v>
      </c>
      <c r="J574" s="20" t="str">
        <f t="shared" si="2"/>
        <v>Agregação</v>
      </c>
      <c r="K574" s="20"/>
      <c r="L574" s="20" t="str">
        <f t="shared" si="3"/>
        <v>agregação</v>
      </c>
      <c r="M574" s="18"/>
      <c r="N574" s="21" t="str">
        <f>IFERROR(__xludf.DUMMYFUNCTION("""COMPUTED_VALUE""")," Agregação")</f>
        <v> Agregação</v>
      </c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</row>
    <row r="575">
      <c r="A575" s="22"/>
      <c r="B575" s="23"/>
      <c r="C575" s="24"/>
      <c r="D575" s="24"/>
      <c r="E575" s="18"/>
      <c r="F575" s="18"/>
      <c r="G575" s="25">
        <f t="shared" ref="G575:I575" si="480">G574</f>
        <v>2021</v>
      </c>
      <c r="H575" s="20" t="str">
        <f t="shared" si="480"/>
        <v>mdmntn2021</v>
      </c>
      <c r="I575" s="20" t="str">
        <f t="shared" si="480"/>
        <v>Mapeamento de metadados no Tainacan: nova funcionalidade para os museus digitais vinculados ao Instituto Brasileiro de Museus</v>
      </c>
      <c r="J575" s="20" t="str">
        <f t="shared" si="2"/>
        <v>Mapeamento</v>
      </c>
      <c r="K575" s="20"/>
      <c r="L575" s="20" t="str">
        <f t="shared" si="3"/>
        <v>mapeamento</v>
      </c>
      <c r="M575" s="18"/>
      <c r="N575" s="21" t="str">
        <f>IFERROR(__xludf.DUMMYFUNCTION("""COMPUTED_VALUE""")," Mapeamento")</f>
        <v> Mapeamento</v>
      </c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</row>
    <row r="576">
      <c r="A576" s="22"/>
      <c r="B576" s="23"/>
      <c r="C576" s="24"/>
      <c r="D576" s="24"/>
      <c r="E576" s="18"/>
      <c r="F576" s="18"/>
      <c r="G576" s="25">
        <f t="shared" ref="G576:I576" si="481">G575</f>
        <v>2021</v>
      </c>
      <c r="H576" s="20" t="str">
        <f t="shared" si="481"/>
        <v>mdmntn2021</v>
      </c>
      <c r="I576" s="20" t="str">
        <f t="shared" si="481"/>
        <v>Mapeamento de metadados no Tainacan: nova funcionalidade para os museus digitais vinculados ao Instituto Brasileiro de Museus</v>
      </c>
      <c r="J576" s="20" t="str">
        <f t="shared" si="2"/>
        <v>Interoperabilidade</v>
      </c>
      <c r="K576" s="20"/>
      <c r="L576" s="20" t="str">
        <f t="shared" si="3"/>
        <v>interoperabilidade</v>
      </c>
      <c r="M576" s="18"/>
      <c r="N576" s="21" t="str">
        <f>IFERROR(__xludf.DUMMYFUNCTION("""COMPUTED_VALUE""")," Interoperabilidade")</f>
        <v> Interoperabilidade</v>
      </c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</row>
    <row r="577">
      <c r="A577" s="8"/>
      <c r="B577" s="23"/>
      <c r="C577" s="24"/>
      <c r="D577" s="24"/>
      <c r="E577" s="18"/>
      <c r="F577" s="18"/>
      <c r="G577" s="25">
        <f t="shared" ref="G577:I577" si="482">G576</f>
        <v>2021</v>
      </c>
      <c r="H577" s="20" t="str">
        <f t="shared" si="482"/>
        <v>mdmntn2021</v>
      </c>
      <c r="I577" s="20" t="str">
        <f t="shared" si="482"/>
        <v>Mapeamento de metadados no Tainacan: nova funcionalidade para os museus digitais vinculados ao Instituto Brasileiro de Museus</v>
      </c>
      <c r="J577" s="20" t="str">
        <f t="shared" si="2"/>
        <v/>
      </c>
      <c r="K577" s="20"/>
      <c r="L577" s="20" t="str">
        <f t="shared" si="3"/>
        <v/>
      </c>
      <c r="M577" s="18"/>
      <c r="N577" s="21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</row>
    <row r="578">
      <c r="A578" s="8" t="s">
        <v>54</v>
      </c>
      <c r="B578" s="9">
        <v>2021.0</v>
      </c>
      <c r="C578" s="10" t="s">
        <v>246</v>
      </c>
      <c r="D578" s="10" t="s">
        <v>247</v>
      </c>
      <c r="E578" s="18"/>
      <c r="F578" s="18"/>
      <c r="G578" s="12">
        <f>B578</f>
        <v>2021</v>
      </c>
      <c r="H578" s="13" t="str">
        <f>LOWER(left(O578,1)&amp;left(P578,1)&amp;left(Q578,1)&amp;left(R578,1)&amp;left(S578,1)&amp;left(T578,1))&amp;G578</f>
        <v>sdiesp2021</v>
      </c>
      <c r="I578" s="20" t="str">
        <f>trim(C578)</f>
        <v>Sistemas de informação em saúde: proposta de um método de gerenciamento de dadosde proveniência no instanciamento do modelo W3C PROV-DM</v>
      </c>
      <c r="J578" s="20" t="str">
        <f t="shared" si="2"/>
        <v>Sistemas de Informação em Saúde</v>
      </c>
      <c r="K578" s="20"/>
      <c r="L578" s="20" t="str">
        <f t="shared" si="3"/>
        <v>sistemas de informação em saúde</v>
      </c>
      <c r="M578" s="18"/>
      <c r="N578" s="21" t="str">
        <f>IFERROR(__xludf.DUMMYFUNCTION("TRANSPOSE(split(D578,"";"",true,true))"),"Sistemas de Informação em Saúde")</f>
        <v>Sistemas de Informação em Saúde</v>
      </c>
      <c r="O578" s="6" t="str">
        <f>IFERROR(__xludf.DUMMYFUNCTION("split(C578,"" "")"),"Sistemas")</f>
        <v>Sistemas</v>
      </c>
      <c r="P578" s="18" t="str">
        <f>IFERROR(__xludf.DUMMYFUNCTION("""COMPUTED_VALUE"""),"de")</f>
        <v>de</v>
      </c>
      <c r="Q578" s="18" t="str">
        <f>IFERROR(__xludf.DUMMYFUNCTION("""COMPUTED_VALUE"""),"informação")</f>
        <v>informação</v>
      </c>
      <c r="R578" s="18" t="str">
        <f>IFERROR(__xludf.DUMMYFUNCTION("""COMPUTED_VALUE"""),"em")</f>
        <v>em</v>
      </c>
      <c r="S578" s="18" t="str">
        <f>IFERROR(__xludf.DUMMYFUNCTION("""COMPUTED_VALUE"""),"saúde:")</f>
        <v>saúde:</v>
      </c>
      <c r="T578" s="18" t="str">
        <f>IFERROR(__xludf.DUMMYFUNCTION("""COMPUTED_VALUE"""),"proposta")</f>
        <v>proposta</v>
      </c>
      <c r="U578" s="18" t="str">
        <f>IFERROR(__xludf.DUMMYFUNCTION("""COMPUTED_VALUE"""),"de")</f>
        <v>de</v>
      </c>
      <c r="V578" s="18" t="str">
        <f>IFERROR(__xludf.DUMMYFUNCTION("""COMPUTED_VALUE"""),"um")</f>
        <v>um</v>
      </c>
      <c r="W578" s="18" t="str">
        <f>IFERROR(__xludf.DUMMYFUNCTION("""COMPUTED_VALUE"""),"método")</f>
        <v>método</v>
      </c>
      <c r="X578" s="18" t="str">
        <f>IFERROR(__xludf.DUMMYFUNCTION("""COMPUTED_VALUE"""),"de")</f>
        <v>de</v>
      </c>
      <c r="Y578" s="18" t="str">
        <f>IFERROR(__xludf.DUMMYFUNCTION("""COMPUTED_VALUE"""),"gerenciamento")</f>
        <v>gerenciamento</v>
      </c>
      <c r="Z578" s="18" t="str">
        <f>IFERROR(__xludf.DUMMYFUNCTION("""COMPUTED_VALUE"""),"de")</f>
        <v>de</v>
      </c>
      <c r="AA578" s="18" t="str">
        <f>IFERROR(__xludf.DUMMYFUNCTION("""COMPUTED_VALUE"""),"dadosde")</f>
        <v>dadosde</v>
      </c>
      <c r="AB578" s="18" t="str">
        <f>IFERROR(__xludf.DUMMYFUNCTION("""COMPUTED_VALUE"""),"proveniência")</f>
        <v>proveniência</v>
      </c>
      <c r="AC578" s="18" t="str">
        <f>IFERROR(__xludf.DUMMYFUNCTION("""COMPUTED_VALUE"""),"no")</f>
        <v>no</v>
      </c>
      <c r="AD578" s="18" t="str">
        <f>IFERROR(__xludf.DUMMYFUNCTION("""COMPUTED_VALUE"""),"instanciamento")</f>
        <v>instanciamento</v>
      </c>
      <c r="AE578" s="18" t="str">
        <f>IFERROR(__xludf.DUMMYFUNCTION("""COMPUTED_VALUE"""),"do")</f>
        <v>do</v>
      </c>
      <c r="AF578" s="18" t="str">
        <f>IFERROR(__xludf.DUMMYFUNCTION("""COMPUTED_VALUE"""),"modelo")</f>
        <v>modelo</v>
      </c>
      <c r="AG578" s="18" t="str">
        <f>IFERROR(__xludf.DUMMYFUNCTION("""COMPUTED_VALUE"""),"W3C")</f>
        <v>W3C</v>
      </c>
      <c r="AH578" s="18" t="str">
        <f>IFERROR(__xludf.DUMMYFUNCTION("""COMPUTED_VALUE"""),"PROV-DM")</f>
        <v>PROV-DM</v>
      </c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</row>
    <row r="579">
      <c r="A579" s="22"/>
      <c r="B579" s="23"/>
      <c r="C579" s="24"/>
      <c r="D579" s="24"/>
      <c r="E579" s="18"/>
      <c r="F579" s="18"/>
      <c r="G579" s="25">
        <f t="shared" ref="G579:I579" si="483">G578</f>
        <v>2021</v>
      </c>
      <c r="H579" s="20" t="str">
        <f t="shared" si="483"/>
        <v>sdiesp2021</v>
      </c>
      <c r="I579" s="20" t="str">
        <f t="shared" si="483"/>
        <v>Sistemas de informação em saúde: proposta de um método de gerenciamento de dadosde proveniência no instanciamento do modelo W3C PROV-DM</v>
      </c>
      <c r="J579" s="20" t="str">
        <f t="shared" si="2"/>
        <v>Proveniência de Dados</v>
      </c>
      <c r="K579" s="20"/>
      <c r="L579" s="20" t="str">
        <f t="shared" si="3"/>
        <v>proveniência de dados</v>
      </c>
      <c r="M579" s="18"/>
      <c r="N579" s="21" t="str">
        <f>IFERROR(__xludf.DUMMYFUNCTION("""COMPUTED_VALUE""")," Proveniência de Dados")</f>
        <v> Proveniência de Dados</v>
      </c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</row>
    <row r="580">
      <c r="A580" s="22"/>
      <c r="B580" s="23"/>
      <c r="C580" s="24"/>
      <c r="D580" s="24"/>
      <c r="E580" s="18"/>
      <c r="F580" s="18"/>
      <c r="G580" s="25">
        <f t="shared" ref="G580:I580" si="484">G579</f>
        <v>2021</v>
      </c>
      <c r="H580" s="20" t="str">
        <f t="shared" si="484"/>
        <v>sdiesp2021</v>
      </c>
      <c r="I580" s="20" t="str">
        <f t="shared" si="484"/>
        <v>Sistemas de informação em saúde: proposta de um método de gerenciamento de dadosde proveniência no instanciamento do modelo W3C PROV-DM</v>
      </c>
      <c r="J580" s="20" t="str">
        <f t="shared" si="2"/>
        <v>Geren-ciamento de Dados de Proveniência</v>
      </c>
      <c r="K580" s="20"/>
      <c r="L580" s="20" t="str">
        <f t="shared" si="3"/>
        <v>geren-ciamento de dados de proveniência</v>
      </c>
      <c r="M580" s="18"/>
      <c r="N580" s="21" t="str">
        <f>IFERROR(__xludf.DUMMYFUNCTION("""COMPUTED_VALUE""")," Geren-ciamento de Dados de Proveniência")</f>
        <v> Geren-ciamento de Dados de Proveniência</v>
      </c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</row>
    <row r="581">
      <c r="A581" s="22"/>
      <c r="B581" s="23"/>
      <c r="C581" s="24"/>
      <c r="D581" s="24"/>
      <c r="E581" s="18"/>
      <c r="F581" s="18"/>
      <c r="G581" s="25">
        <f t="shared" ref="G581:I581" si="485">G580</f>
        <v>2021</v>
      </c>
      <c r="H581" s="20" t="str">
        <f t="shared" si="485"/>
        <v>sdiesp2021</v>
      </c>
      <c r="I581" s="20" t="str">
        <f t="shared" si="485"/>
        <v>Sistemas de informação em saúde: proposta de um método de gerenciamento de dadosde proveniência no instanciamento do modelo W3C PROV-DM</v>
      </c>
      <c r="J581" s="20" t="str">
        <f t="shared" si="2"/>
        <v>W3C PROV-DM</v>
      </c>
      <c r="K581" s="20"/>
      <c r="L581" s="20" t="str">
        <f t="shared" si="3"/>
        <v>w3c prov-dm</v>
      </c>
      <c r="M581" s="18"/>
      <c r="N581" s="21" t="str">
        <f>IFERROR(__xludf.DUMMYFUNCTION("""COMPUTED_VALUE""")," W3C PROV-DM")</f>
        <v> W3C PROV-DM</v>
      </c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</row>
    <row r="582">
      <c r="A582" s="22"/>
      <c r="B582" s="23"/>
      <c r="C582" s="24"/>
      <c r="D582" s="24"/>
      <c r="E582" s="18"/>
      <c r="F582" s="18"/>
      <c r="G582" s="25">
        <f t="shared" ref="G582:I582" si="486">G581</f>
        <v>2021</v>
      </c>
      <c r="H582" s="20" t="str">
        <f t="shared" si="486"/>
        <v>sdiesp2021</v>
      </c>
      <c r="I582" s="20" t="str">
        <f t="shared" si="486"/>
        <v>Sistemas de informação em saúde: proposta de um método de gerenciamento de dadosde proveniência no instanciamento do modelo W3C PROV-DM</v>
      </c>
      <c r="J582" s="20" t="str">
        <f t="shared" si="2"/>
        <v>Método</v>
      </c>
      <c r="K582" s="20"/>
      <c r="L582" s="20" t="str">
        <f t="shared" si="3"/>
        <v>método</v>
      </c>
      <c r="M582" s="18"/>
      <c r="N582" s="21" t="str">
        <f>IFERROR(__xludf.DUMMYFUNCTION("""COMPUTED_VALUE""")," Método")</f>
        <v> Método</v>
      </c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</row>
    <row r="583">
      <c r="A583" s="8"/>
      <c r="B583" s="23"/>
      <c r="C583" s="24"/>
      <c r="D583" s="24"/>
      <c r="E583" s="18"/>
      <c r="F583" s="18"/>
      <c r="G583" s="25">
        <f t="shared" ref="G583:I583" si="487">G582</f>
        <v>2021</v>
      </c>
      <c r="H583" s="20" t="str">
        <f t="shared" si="487"/>
        <v>sdiesp2021</v>
      </c>
      <c r="I583" s="20" t="str">
        <f t="shared" si="487"/>
        <v>Sistemas de informação em saúde: proposta de um método de gerenciamento de dadosde proveniência no instanciamento do modelo W3C PROV-DM</v>
      </c>
      <c r="J583" s="20" t="str">
        <f t="shared" si="2"/>
        <v/>
      </c>
      <c r="K583" s="20"/>
      <c r="L583" s="20" t="str">
        <f t="shared" si="3"/>
        <v/>
      </c>
      <c r="M583" s="18"/>
      <c r="N583" s="21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</row>
    <row r="584">
      <c r="A584" s="8" t="s">
        <v>54</v>
      </c>
      <c r="B584" s="9">
        <v>2021.0</v>
      </c>
      <c r="C584" s="10" t="s">
        <v>248</v>
      </c>
      <c r="D584" s="10" t="s">
        <v>249</v>
      </c>
      <c r="E584" s="18"/>
      <c r="F584" s="18"/>
      <c r="G584" s="12">
        <f>B584</f>
        <v>2021</v>
      </c>
      <c r="H584" s="13" t="str">
        <f>LOWER(left(O584,1)&amp;left(P584,1)&amp;left(Q584,1)&amp;left(R584,1)&amp;left(S584,1)&amp;left(T584,1))&amp;G584</f>
        <v>acdirc2021</v>
      </c>
      <c r="I584" s="20" t="str">
        <f>trim(C584)</f>
        <v>Análise comportamental dos indicadores relacionados com os perfis de usuários da plataforma Mettzer</v>
      </c>
      <c r="J584" s="20" t="str">
        <f t="shared" si="2"/>
        <v>Análise de dados</v>
      </c>
      <c r="K584" s="20"/>
      <c r="L584" s="20" t="str">
        <f t="shared" si="3"/>
        <v>análise de dados</v>
      </c>
      <c r="M584" s="18"/>
      <c r="N584" s="21" t="str">
        <f>IFERROR(__xludf.DUMMYFUNCTION("TRANSPOSE(split(D584,"";"",true,true))")," Análise  de  dados")</f>
        <v> Análise  de  dados</v>
      </c>
      <c r="O584" s="6" t="str">
        <f>IFERROR(__xludf.DUMMYFUNCTION("split(C584,"" "")"),"Análise")</f>
        <v>Análise</v>
      </c>
      <c r="P584" s="18" t="str">
        <f>IFERROR(__xludf.DUMMYFUNCTION("""COMPUTED_VALUE"""),"comportamental")</f>
        <v>comportamental</v>
      </c>
      <c r="Q584" s="18" t="str">
        <f>IFERROR(__xludf.DUMMYFUNCTION("""COMPUTED_VALUE"""),"dos")</f>
        <v>dos</v>
      </c>
      <c r="R584" s="18" t="str">
        <f>IFERROR(__xludf.DUMMYFUNCTION("""COMPUTED_VALUE"""),"indicadores")</f>
        <v>indicadores</v>
      </c>
      <c r="S584" s="18" t="str">
        <f>IFERROR(__xludf.DUMMYFUNCTION("""COMPUTED_VALUE"""),"relacionados")</f>
        <v>relacionados</v>
      </c>
      <c r="T584" s="18" t="str">
        <f>IFERROR(__xludf.DUMMYFUNCTION("""COMPUTED_VALUE"""),"com")</f>
        <v>com</v>
      </c>
      <c r="U584" s="18" t="str">
        <f>IFERROR(__xludf.DUMMYFUNCTION("""COMPUTED_VALUE"""),"os")</f>
        <v>os</v>
      </c>
      <c r="V584" s="18" t="str">
        <f>IFERROR(__xludf.DUMMYFUNCTION("""COMPUTED_VALUE"""),"perfis")</f>
        <v>perfis</v>
      </c>
      <c r="W584" s="18" t="str">
        <f>IFERROR(__xludf.DUMMYFUNCTION("""COMPUTED_VALUE"""),"de")</f>
        <v>de</v>
      </c>
      <c r="X584" s="18" t="str">
        <f>IFERROR(__xludf.DUMMYFUNCTION("""COMPUTED_VALUE"""),"usuários")</f>
        <v>usuários</v>
      </c>
      <c r="Y584" s="18" t="str">
        <f>IFERROR(__xludf.DUMMYFUNCTION("""COMPUTED_VALUE"""),"da")</f>
        <v>da</v>
      </c>
      <c r="Z584" s="18" t="str">
        <f>IFERROR(__xludf.DUMMYFUNCTION("""COMPUTED_VALUE"""),"plataforma")</f>
        <v>plataforma</v>
      </c>
      <c r="AA584" s="18" t="str">
        <f>IFERROR(__xludf.DUMMYFUNCTION("""COMPUTED_VALUE"""),"Mettzer")</f>
        <v>Mettzer</v>
      </c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</row>
    <row r="585">
      <c r="A585" s="22"/>
      <c r="B585" s="23"/>
      <c r="C585" s="24"/>
      <c r="D585" s="24"/>
      <c r="E585" s="18"/>
      <c r="F585" s="18"/>
      <c r="G585" s="25">
        <f t="shared" ref="G585:I585" si="488">G584</f>
        <v>2021</v>
      </c>
      <c r="H585" s="20" t="str">
        <f t="shared" si="488"/>
        <v>acdirc2021</v>
      </c>
      <c r="I585" s="20" t="str">
        <f t="shared" si="488"/>
        <v>Análise comportamental dos indicadores relacionados com os perfis de usuários da plataforma Mettzer</v>
      </c>
      <c r="J585" s="20" t="str">
        <f t="shared" si="2"/>
        <v>Análise comportamental</v>
      </c>
      <c r="K585" s="20"/>
      <c r="L585" s="20" t="str">
        <f t="shared" si="3"/>
        <v>análise comportamental</v>
      </c>
      <c r="M585" s="18"/>
      <c r="N585" s="21" t="str">
        <f>IFERROR(__xludf.DUMMYFUNCTION("""COMPUTED_VALUE"""),"  Análise  comportamental")</f>
        <v>  Análise  comportamental</v>
      </c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</row>
    <row r="586">
      <c r="A586" s="22"/>
      <c r="B586" s="23"/>
      <c r="C586" s="24"/>
      <c r="D586" s="24"/>
      <c r="E586" s="18"/>
      <c r="F586" s="18"/>
      <c r="G586" s="25">
        <f t="shared" ref="G586:I586" si="489">G585</f>
        <v>2021</v>
      </c>
      <c r="H586" s="20" t="str">
        <f t="shared" si="489"/>
        <v>acdirc2021</v>
      </c>
      <c r="I586" s="20" t="str">
        <f t="shared" si="489"/>
        <v>Análise comportamental dos indicadores relacionados com os perfis de usuários da plataforma Mettzer</v>
      </c>
      <c r="J586" s="20" t="str">
        <f t="shared" si="2"/>
        <v>Indicadores</v>
      </c>
      <c r="K586" s="20"/>
      <c r="L586" s="20" t="str">
        <f t="shared" si="3"/>
        <v>indicadores</v>
      </c>
      <c r="M586" s="18"/>
      <c r="N586" s="21" t="str">
        <f>IFERROR(__xludf.DUMMYFUNCTION("""COMPUTED_VALUE"""),"  Indicadores")</f>
        <v>  Indicadores</v>
      </c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</row>
    <row r="587">
      <c r="A587" s="22"/>
      <c r="B587" s="23"/>
      <c r="C587" s="24"/>
      <c r="D587" s="24"/>
      <c r="E587" s="18"/>
      <c r="F587" s="18"/>
      <c r="G587" s="25">
        <f t="shared" ref="G587:I587" si="490">G586</f>
        <v>2021</v>
      </c>
      <c r="H587" s="20" t="str">
        <f t="shared" si="490"/>
        <v>acdirc2021</v>
      </c>
      <c r="I587" s="20" t="str">
        <f t="shared" si="490"/>
        <v>Análise comportamental dos indicadores relacionados com os perfis de usuários da plataforma Mettzer</v>
      </c>
      <c r="J587" s="20" t="str">
        <f t="shared" si="2"/>
        <v>Mettzer</v>
      </c>
      <c r="K587" s="20"/>
      <c r="L587" s="20" t="str">
        <f t="shared" si="3"/>
        <v>mettzer</v>
      </c>
      <c r="M587" s="18"/>
      <c r="N587" s="21" t="str">
        <f>IFERROR(__xludf.DUMMYFUNCTION("""COMPUTED_VALUE"""),"  Mettzer")</f>
        <v>  Mettzer</v>
      </c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</row>
    <row r="588">
      <c r="A588" s="22"/>
      <c r="B588" s="23"/>
      <c r="C588" s="24"/>
      <c r="D588" s="24"/>
      <c r="E588" s="18"/>
      <c r="F588" s="18"/>
      <c r="G588" s="25">
        <f t="shared" ref="G588:I588" si="491">G587</f>
        <v>2021</v>
      </c>
      <c r="H588" s="20" t="str">
        <f t="shared" si="491"/>
        <v>acdirc2021</v>
      </c>
      <c r="I588" s="20" t="str">
        <f t="shared" si="491"/>
        <v>Análise comportamental dos indicadores relacionados com os perfis de usuários da plataforma Mettzer</v>
      </c>
      <c r="J588" s="20" t="str">
        <f t="shared" si="2"/>
        <v>Perfil de usuário</v>
      </c>
      <c r="K588" s="20"/>
      <c r="L588" s="20" t="str">
        <f t="shared" si="3"/>
        <v>perfil de usuário</v>
      </c>
      <c r="M588" s="18"/>
      <c r="N588" s="21" t="str">
        <f>IFERROR(__xludf.DUMMYFUNCTION("""COMPUTED_VALUE"""),"  Perfil de usuário")</f>
        <v>  Perfil de usuário</v>
      </c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</row>
    <row r="589">
      <c r="A589" s="8"/>
      <c r="B589" s="23"/>
      <c r="C589" s="24"/>
      <c r="D589" s="24"/>
      <c r="E589" s="18"/>
      <c r="F589" s="18"/>
      <c r="G589" s="25">
        <f t="shared" ref="G589:I589" si="492">G588</f>
        <v>2021</v>
      </c>
      <c r="H589" s="20" t="str">
        <f t="shared" si="492"/>
        <v>acdirc2021</v>
      </c>
      <c r="I589" s="20" t="str">
        <f t="shared" si="492"/>
        <v>Análise comportamental dos indicadores relacionados com os perfis de usuários da plataforma Mettzer</v>
      </c>
      <c r="J589" s="20" t="str">
        <f t="shared" si="2"/>
        <v/>
      </c>
      <c r="K589" s="20"/>
      <c r="L589" s="20" t="str">
        <f t="shared" si="3"/>
        <v/>
      </c>
      <c r="M589" s="18"/>
      <c r="N589" s="21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</row>
    <row r="590">
      <c r="A590" s="8" t="s">
        <v>54</v>
      </c>
      <c r="B590" s="9">
        <v>2021.0</v>
      </c>
      <c r="C590" s="10" t="s">
        <v>250</v>
      </c>
      <c r="D590" s="10" t="s">
        <v>251</v>
      </c>
      <c r="E590" s="18"/>
      <c r="F590" s="18"/>
      <c r="G590" s="12">
        <f>B590</f>
        <v>2021</v>
      </c>
      <c r="H590" s="13" t="str">
        <f>LOWER(left(O590,1)&amp;left(P590,1)&amp;left(Q590,1)&amp;left(R590,1)&amp;left(S590,1)&amp;left(T590,1))&amp;G590</f>
        <v>uepcie2021</v>
      </c>
      <c r="I590" s="20" t="str">
        <f>trim(C590)</f>
        <v>Uma estratégia para coleta, integração e tratamento de dados científicos no contexto do BrCris</v>
      </c>
      <c r="J590" s="20" t="str">
        <f t="shared" si="2"/>
        <v>Produção Científica</v>
      </c>
      <c r="K590" s="20"/>
      <c r="L590" s="20" t="str">
        <f t="shared" si="3"/>
        <v>produção científica</v>
      </c>
      <c r="M590" s="18"/>
      <c r="N590" s="21" t="str">
        <f>IFERROR(__xludf.DUMMYFUNCTION("TRANSPOSE(split(D590,"";"",true,true))"),"Produção Científica")</f>
        <v>Produção Científica</v>
      </c>
      <c r="O590" s="6" t="str">
        <f>IFERROR(__xludf.DUMMYFUNCTION("split(C590,"" "")"),"Uma")</f>
        <v>Uma</v>
      </c>
      <c r="P590" s="18" t="str">
        <f>IFERROR(__xludf.DUMMYFUNCTION("""COMPUTED_VALUE"""),"estratégia")</f>
        <v>estratégia</v>
      </c>
      <c r="Q590" s="18" t="str">
        <f>IFERROR(__xludf.DUMMYFUNCTION("""COMPUTED_VALUE"""),"para")</f>
        <v>para</v>
      </c>
      <c r="R590" s="18" t="str">
        <f>IFERROR(__xludf.DUMMYFUNCTION("""COMPUTED_VALUE"""),"coleta,")</f>
        <v>coleta,</v>
      </c>
      <c r="S590" s="18" t="str">
        <f>IFERROR(__xludf.DUMMYFUNCTION("""COMPUTED_VALUE"""),"integração")</f>
        <v>integração</v>
      </c>
      <c r="T590" s="18" t="str">
        <f>IFERROR(__xludf.DUMMYFUNCTION("""COMPUTED_VALUE"""),"e")</f>
        <v>e</v>
      </c>
      <c r="U590" s="18" t="str">
        <f>IFERROR(__xludf.DUMMYFUNCTION("""COMPUTED_VALUE"""),"tratamento")</f>
        <v>tratamento</v>
      </c>
      <c r="V590" s="18" t="str">
        <f>IFERROR(__xludf.DUMMYFUNCTION("""COMPUTED_VALUE"""),"de")</f>
        <v>de</v>
      </c>
      <c r="W590" s="18" t="str">
        <f>IFERROR(__xludf.DUMMYFUNCTION("""COMPUTED_VALUE"""),"dados")</f>
        <v>dados</v>
      </c>
      <c r="X590" s="18" t="str">
        <f>IFERROR(__xludf.DUMMYFUNCTION("""COMPUTED_VALUE"""),"científicos")</f>
        <v>científicos</v>
      </c>
      <c r="Y590" s="18" t="str">
        <f>IFERROR(__xludf.DUMMYFUNCTION("""COMPUTED_VALUE"""),"no")</f>
        <v>no</v>
      </c>
      <c r="Z590" s="18" t="str">
        <f>IFERROR(__xludf.DUMMYFUNCTION("""COMPUTED_VALUE"""),"contexto")</f>
        <v>contexto</v>
      </c>
      <c r="AA590" s="18" t="str">
        <f>IFERROR(__xludf.DUMMYFUNCTION("""COMPUTED_VALUE"""),"do")</f>
        <v>do</v>
      </c>
      <c r="AB590" s="18" t="str">
        <f>IFERROR(__xludf.DUMMYFUNCTION("""COMPUTED_VALUE"""),"BrCris")</f>
        <v>BrCris</v>
      </c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</row>
    <row r="591">
      <c r="A591" s="22"/>
      <c r="B591" s="23"/>
      <c r="C591" s="24"/>
      <c r="D591" s="24"/>
      <c r="E591" s="18"/>
      <c r="F591" s="18"/>
      <c r="G591" s="25">
        <f t="shared" ref="G591:I591" si="493">G590</f>
        <v>2021</v>
      </c>
      <c r="H591" s="20" t="str">
        <f t="shared" si="493"/>
        <v>uepcie2021</v>
      </c>
      <c r="I591" s="20" t="str">
        <f t="shared" si="493"/>
        <v>Uma estratégia para coleta, integração e tratamento de dados científicos no contexto do BrCris</v>
      </c>
      <c r="J591" s="20" t="str">
        <f t="shared" si="2"/>
        <v>BrCris</v>
      </c>
      <c r="K591" s="20"/>
      <c r="L591" s="20" t="str">
        <f t="shared" si="3"/>
        <v>brcris</v>
      </c>
      <c r="M591" s="18"/>
      <c r="N591" s="21" t="str">
        <f>IFERROR(__xludf.DUMMYFUNCTION("""COMPUTED_VALUE""")," BrCris")</f>
        <v> BrCris</v>
      </c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</row>
    <row r="592">
      <c r="A592" s="22"/>
      <c r="B592" s="23"/>
      <c r="C592" s="24"/>
      <c r="D592" s="24"/>
      <c r="E592" s="18"/>
      <c r="F592" s="18"/>
      <c r="G592" s="25">
        <f t="shared" ref="G592:I592" si="494">G591</f>
        <v>2021</v>
      </c>
      <c r="H592" s="20" t="str">
        <f t="shared" si="494"/>
        <v>uepcie2021</v>
      </c>
      <c r="I592" s="20" t="str">
        <f t="shared" si="494"/>
        <v>Uma estratégia para coleta, integração e tratamento de dados científicos no contexto do BrCris</v>
      </c>
      <c r="J592" s="20" t="str">
        <f t="shared" si="2"/>
        <v>Plataforma Lattes</v>
      </c>
      <c r="K592" s="20"/>
      <c r="L592" s="20" t="str">
        <f t="shared" si="3"/>
        <v>plataforma lattes</v>
      </c>
      <c r="M592" s="18"/>
      <c r="N592" s="21" t="str">
        <f>IFERROR(__xludf.DUMMYFUNCTION("""COMPUTED_VALUE""")," Plataforma Lattes")</f>
        <v> Plataforma Lattes</v>
      </c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</row>
    <row r="593">
      <c r="A593" s="22"/>
      <c r="B593" s="23"/>
      <c r="C593" s="24"/>
      <c r="D593" s="24"/>
      <c r="E593" s="18"/>
      <c r="F593" s="18"/>
      <c r="G593" s="25">
        <f t="shared" ref="G593:I593" si="495">G592</f>
        <v>2021</v>
      </c>
      <c r="H593" s="20" t="str">
        <f t="shared" si="495"/>
        <v>uepcie2021</v>
      </c>
      <c r="I593" s="20" t="str">
        <f t="shared" si="495"/>
        <v>Uma estratégia para coleta, integração e tratamento de dados científicos no contexto do BrCris</v>
      </c>
      <c r="J593" s="20" t="str">
        <f t="shared" si="2"/>
        <v/>
      </c>
      <c r="K593" s="20"/>
      <c r="L593" s="20" t="str">
        <f t="shared" si="3"/>
        <v/>
      </c>
      <c r="M593" s="18"/>
      <c r="N593" s="21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</row>
    <row r="594">
      <c r="A594" s="22"/>
      <c r="B594" s="23"/>
      <c r="C594" s="24"/>
      <c r="D594" s="24"/>
      <c r="E594" s="18"/>
      <c r="F594" s="18"/>
      <c r="G594" s="25">
        <f t="shared" ref="G594:I594" si="496">G593</f>
        <v>2021</v>
      </c>
      <c r="H594" s="20" t="str">
        <f t="shared" si="496"/>
        <v>uepcie2021</v>
      </c>
      <c r="I594" s="20" t="str">
        <f t="shared" si="496"/>
        <v>Uma estratégia para coleta, integração e tratamento de dados científicos no contexto do BrCris</v>
      </c>
      <c r="J594" s="20" t="str">
        <f t="shared" si="2"/>
        <v/>
      </c>
      <c r="K594" s="20"/>
      <c r="L594" s="20" t="str">
        <f t="shared" si="3"/>
        <v/>
      </c>
      <c r="M594" s="18"/>
      <c r="N594" s="21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</row>
    <row r="595">
      <c r="A595" s="8"/>
      <c r="B595" s="23"/>
      <c r="C595" s="24"/>
      <c r="D595" s="24"/>
      <c r="E595" s="18"/>
      <c r="F595" s="18"/>
      <c r="G595" s="25">
        <f t="shared" ref="G595:I595" si="497">G594</f>
        <v>2021</v>
      </c>
      <c r="H595" s="20" t="str">
        <f t="shared" si="497"/>
        <v>uepcie2021</v>
      </c>
      <c r="I595" s="20" t="str">
        <f t="shared" si="497"/>
        <v>Uma estratégia para coleta, integração e tratamento de dados científicos no contexto do BrCris</v>
      </c>
      <c r="J595" s="20" t="str">
        <f t="shared" si="2"/>
        <v/>
      </c>
      <c r="K595" s="20"/>
      <c r="L595" s="20" t="str">
        <f t="shared" si="3"/>
        <v/>
      </c>
      <c r="M595" s="18"/>
      <c r="N595" s="21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</row>
    <row r="596">
      <c r="A596" s="8" t="s">
        <v>54</v>
      </c>
      <c r="B596" s="9">
        <v>2018.0</v>
      </c>
      <c r="C596" s="10" t="s">
        <v>252</v>
      </c>
      <c r="D596" s="10" t="s">
        <v>253</v>
      </c>
      <c r="E596" s="18"/>
      <c r="F596" s="18"/>
      <c r="G596" s="12">
        <f>B596</f>
        <v>2018</v>
      </c>
      <c r="H596" s="13" t="str">
        <f>LOWER(left(O596,1)&amp;left(P596,1)&amp;left(Q596,1)&amp;left(R596,1)&amp;left(S596,1)&amp;left(T596,1))&amp;G596</f>
        <v>sàgddd2018</v>
      </c>
      <c r="I596" s="20" t="str">
        <f>trim(C596)</f>
        <v>Suporte à gestão de dados de pesquisa nas bibliotecas: identificação de serviços a partir da literatura</v>
      </c>
      <c r="J596" s="20" t="str">
        <f t="shared" si="2"/>
        <v>Dados de pesquisa</v>
      </c>
      <c r="K596" s="20"/>
      <c r="L596" s="20" t="str">
        <f t="shared" si="3"/>
        <v>dados de pesquisa</v>
      </c>
      <c r="M596" s="18"/>
      <c r="N596" s="21" t="str">
        <f>IFERROR(__xludf.DUMMYFUNCTION("TRANSPOSE(split(D596,"";"",true,true))"),"Dados de pesquisa")</f>
        <v>Dados de pesquisa</v>
      </c>
      <c r="O596" s="6" t="str">
        <f>IFERROR(__xludf.DUMMYFUNCTION("split(C596,"" "")"),"Suporte")</f>
        <v>Suporte</v>
      </c>
      <c r="P596" s="18" t="str">
        <f>IFERROR(__xludf.DUMMYFUNCTION("""COMPUTED_VALUE"""),"à")</f>
        <v>à</v>
      </c>
      <c r="Q596" s="18" t="str">
        <f>IFERROR(__xludf.DUMMYFUNCTION("""COMPUTED_VALUE"""),"gestão")</f>
        <v>gestão</v>
      </c>
      <c r="R596" s="18" t="str">
        <f>IFERROR(__xludf.DUMMYFUNCTION("""COMPUTED_VALUE"""),"de")</f>
        <v>de</v>
      </c>
      <c r="S596" s="18" t="str">
        <f>IFERROR(__xludf.DUMMYFUNCTION("""COMPUTED_VALUE"""),"dados")</f>
        <v>dados</v>
      </c>
      <c r="T596" s="18" t="str">
        <f>IFERROR(__xludf.DUMMYFUNCTION("""COMPUTED_VALUE"""),"de")</f>
        <v>de</v>
      </c>
      <c r="U596" s="18" t="str">
        <f>IFERROR(__xludf.DUMMYFUNCTION("""COMPUTED_VALUE"""),"pesquisa")</f>
        <v>pesquisa</v>
      </c>
      <c r="V596" s="18" t="str">
        <f>IFERROR(__xludf.DUMMYFUNCTION("""COMPUTED_VALUE"""),"nas")</f>
        <v>nas</v>
      </c>
      <c r="W596" s="18" t="str">
        <f>IFERROR(__xludf.DUMMYFUNCTION("""COMPUTED_VALUE"""),"bibliotecas:")</f>
        <v>bibliotecas:</v>
      </c>
      <c r="X596" s="18" t="str">
        <f>IFERROR(__xludf.DUMMYFUNCTION("""COMPUTED_VALUE"""),"identificação")</f>
        <v>identificação</v>
      </c>
      <c r="Y596" s="18" t="str">
        <f>IFERROR(__xludf.DUMMYFUNCTION("""COMPUTED_VALUE"""),"de")</f>
        <v>de</v>
      </c>
      <c r="Z596" s="18" t="str">
        <f>IFERROR(__xludf.DUMMYFUNCTION("""COMPUTED_VALUE"""),"serviços")</f>
        <v>serviços</v>
      </c>
      <c r="AA596" s="18" t="str">
        <f>IFERROR(__xludf.DUMMYFUNCTION("""COMPUTED_VALUE"""),"a")</f>
        <v>a</v>
      </c>
      <c r="AB596" s="18" t="str">
        <f>IFERROR(__xludf.DUMMYFUNCTION("""COMPUTED_VALUE"""),"partir")</f>
        <v>partir</v>
      </c>
      <c r="AC596" s="18" t="str">
        <f>IFERROR(__xludf.DUMMYFUNCTION("""COMPUTED_VALUE"""),"da")</f>
        <v>da</v>
      </c>
      <c r="AD596" s="18" t="str">
        <f>IFERROR(__xludf.DUMMYFUNCTION("""COMPUTED_VALUE"""),"literatura")</f>
        <v>literatura</v>
      </c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</row>
    <row r="597">
      <c r="A597" s="22"/>
      <c r="B597" s="23"/>
      <c r="C597" s="24"/>
      <c r="D597" s="24"/>
      <c r="E597" s="18"/>
      <c r="F597" s="18"/>
      <c r="G597" s="25">
        <f t="shared" ref="G597:I597" si="498">G596</f>
        <v>2018</v>
      </c>
      <c r="H597" s="20" t="str">
        <f t="shared" si="498"/>
        <v>sàgddd2018</v>
      </c>
      <c r="I597" s="20" t="str">
        <f t="shared" si="498"/>
        <v>Suporte à gestão de dados de pesquisa nas bibliotecas: identificação de serviços a partir da literatura</v>
      </c>
      <c r="J597" s="20" t="str">
        <f t="shared" si="2"/>
        <v>Gestão de dados de pesquisa</v>
      </c>
      <c r="K597" s="20"/>
      <c r="L597" s="20" t="str">
        <f t="shared" si="3"/>
        <v>gestão de dados de pesquisa</v>
      </c>
      <c r="M597" s="18"/>
      <c r="N597" s="21" t="str">
        <f>IFERROR(__xludf.DUMMYFUNCTION("""COMPUTED_VALUE""")," Gestão de dados de pesquisa")</f>
        <v> Gestão de dados de pesquisa</v>
      </c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</row>
    <row r="598">
      <c r="A598" s="22"/>
      <c r="B598" s="23"/>
      <c r="C598" s="24"/>
      <c r="D598" s="24"/>
      <c r="E598" s="18"/>
      <c r="F598" s="18"/>
      <c r="G598" s="25">
        <f t="shared" ref="G598:I598" si="499">G597</f>
        <v>2018</v>
      </c>
      <c r="H598" s="20" t="str">
        <f t="shared" si="499"/>
        <v>sàgddd2018</v>
      </c>
      <c r="I598" s="20" t="str">
        <f t="shared" si="499"/>
        <v>Suporte à gestão de dados de pesquisa nas bibliotecas: identificação de serviços a partir da literatura</v>
      </c>
      <c r="J598" s="20" t="str">
        <f t="shared" si="2"/>
        <v>Bibliotecas</v>
      </c>
      <c r="K598" s="20"/>
      <c r="L598" s="20" t="str">
        <f t="shared" si="3"/>
        <v>bibliotecas</v>
      </c>
      <c r="M598" s="18"/>
      <c r="N598" s="21" t="str">
        <f>IFERROR(__xludf.DUMMYFUNCTION("""COMPUTED_VALUE""")," Bibliotecas")</f>
        <v> Bibliotecas</v>
      </c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</row>
    <row r="599">
      <c r="A599" s="22"/>
      <c r="B599" s="23"/>
      <c r="C599" s="24"/>
      <c r="D599" s="24"/>
      <c r="E599" s="18"/>
      <c r="F599" s="18"/>
      <c r="G599" s="25">
        <f t="shared" ref="G599:I599" si="500">G598</f>
        <v>2018</v>
      </c>
      <c r="H599" s="20" t="str">
        <f t="shared" si="500"/>
        <v>sàgddd2018</v>
      </c>
      <c r="I599" s="20" t="str">
        <f t="shared" si="500"/>
        <v>Suporte à gestão de dados de pesquisa nas bibliotecas: identificação de serviços a partir da literatura</v>
      </c>
      <c r="J599" s="20" t="str">
        <f t="shared" si="2"/>
        <v>Serviços</v>
      </c>
      <c r="K599" s="20"/>
      <c r="L599" s="20" t="str">
        <f t="shared" si="3"/>
        <v>serviços</v>
      </c>
      <c r="M599" s="18"/>
      <c r="N599" s="21" t="str">
        <f>IFERROR(__xludf.DUMMYFUNCTION("""COMPUTED_VALUE""")," Serviços")</f>
        <v> Serviços</v>
      </c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</row>
    <row r="600">
      <c r="A600" s="22"/>
      <c r="B600" s="23"/>
      <c r="C600" s="24"/>
      <c r="D600" s="24"/>
      <c r="E600" s="18"/>
      <c r="F600" s="18"/>
      <c r="G600" s="25">
        <f t="shared" ref="G600:I600" si="501">G599</f>
        <v>2018</v>
      </c>
      <c r="H600" s="20" t="str">
        <f t="shared" si="501"/>
        <v>sàgddd2018</v>
      </c>
      <c r="I600" s="20" t="str">
        <f t="shared" si="501"/>
        <v>Suporte à gestão de dados de pesquisa nas bibliotecas: identificação de serviços a partir da literatura</v>
      </c>
      <c r="J600" s="20" t="str">
        <f t="shared" si="2"/>
        <v/>
      </c>
      <c r="K600" s="20"/>
      <c r="L600" s="20" t="str">
        <f t="shared" si="3"/>
        <v/>
      </c>
      <c r="M600" s="18"/>
      <c r="N600" s="21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</row>
    <row r="601">
      <c r="A601" s="8"/>
      <c r="B601" s="23"/>
      <c r="C601" s="24"/>
      <c r="D601" s="24"/>
      <c r="E601" s="18"/>
      <c r="F601" s="18"/>
      <c r="G601" s="25">
        <f t="shared" ref="G601:I601" si="502">G600</f>
        <v>2018</v>
      </c>
      <c r="H601" s="20" t="str">
        <f t="shared" si="502"/>
        <v>sàgddd2018</v>
      </c>
      <c r="I601" s="20" t="str">
        <f t="shared" si="502"/>
        <v>Suporte à gestão de dados de pesquisa nas bibliotecas: identificação de serviços a partir da literatura</v>
      </c>
      <c r="J601" s="20" t="str">
        <f t="shared" si="2"/>
        <v/>
      </c>
      <c r="K601" s="20"/>
      <c r="L601" s="20" t="str">
        <f t="shared" si="3"/>
        <v/>
      </c>
      <c r="M601" s="18"/>
      <c r="N601" s="21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</row>
    <row r="602">
      <c r="A602" s="8" t="s">
        <v>54</v>
      </c>
      <c r="B602" s="9">
        <v>2018.0</v>
      </c>
      <c r="C602" s="10" t="s">
        <v>254</v>
      </c>
      <c r="D602" s="10" t="s">
        <v>255</v>
      </c>
      <c r="E602" s="18"/>
      <c r="F602" s="18"/>
      <c r="G602" s="12">
        <f>B602</f>
        <v>2018</v>
      </c>
      <c r="H602" s="13" t="str">
        <f>LOWER(left(O602,1)&amp;left(P602,1)&amp;left(Q602,1)&amp;left(R602,1)&amp;left(S602,1)&amp;left(T602,1))&amp;G602</f>
        <v>rcrput2018</v>
      </c>
      <c r="I602" s="20" t="str">
        <f>trim(C602)</f>
        <v>REVOLUÇÃO CIENTÍFICA? Reflexões para uma teoria crítica da ciência dos dados</v>
      </c>
      <c r="J602" s="20" t="str">
        <f t="shared" si="2"/>
        <v>e-Science</v>
      </c>
      <c r="K602" s="20"/>
      <c r="L602" s="20" t="str">
        <f t="shared" si="3"/>
        <v>e-science</v>
      </c>
      <c r="M602" s="18"/>
      <c r="N602" s="21" t="str">
        <f>IFERROR(__xludf.DUMMYFUNCTION("TRANSPOSE(split(D602,"";"",true,true))"),"e-Science")</f>
        <v>e-Science</v>
      </c>
      <c r="O602" s="6" t="str">
        <f>IFERROR(__xludf.DUMMYFUNCTION("split(C602,"" "")"),"REVOLUÇÃO")</f>
        <v>REVOLUÇÃO</v>
      </c>
      <c r="P602" s="18" t="str">
        <f>IFERROR(__xludf.DUMMYFUNCTION("""COMPUTED_VALUE"""),"CIENTÍFICA?")</f>
        <v>CIENTÍFICA?</v>
      </c>
      <c r="Q602" s="18" t="str">
        <f>IFERROR(__xludf.DUMMYFUNCTION("""COMPUTED_VALUE"""),"Reflexões")</f>
        <v>Reflexões</v>
      </c>
      <c r="R602" s="18" t="str">
        <f>IFERROR(__xludf.DUMMYFUNCTION("""COMPUTED_VALUE"""),"para")</f>
        <v>para</v>
      </c>
      <c r="S602" s="18" t="str">
        <f>IFERROR(__xludf.DUMMYFUNCTION("""COMPUTED_VALUE"""),"uma")</f>
        <v>uma</v>
      </c>
      <c r="T602" s="18" t="str">
        <f>IFERROR(__xludf.DUMMYFUNCTION("""COMPUTED_VALUE"""),"teoria")</f>
        <v>teoria</v>
      </c>
      <c r="U602" s="18" t="str">
        <f>IFERROR(__xludf.DUMMYFUNCTION("""COMPUTED_VALUE"""),"crítica")</f>
        <v>crítica</v>
      </c>
      <c r="V602" s="18" t="str">
        <f>IFERROR(__xludf.DUMMYFUNCTION("""COMPUTED_VALUE"""),"da")</f>
        <v>da</v>
      </c>
      <c r="W602" s="18" t="str">
        <f>IFERROR(__xludf.DUMMYFUNCTION("""COMPUTED_VALUE"""),"ciência")</f>
        <v>ciência</v>
      </c>
      <c r="X602" s="18" t="str">
        <f>IFERROR(__xludf.DUMMYFUNCTION("""COMPUTED_VALUE"""),"dos")</f>
        <v>dos</v>
      </c>
      <c r="Y602" s="18" t="str">
        <f>IFERROR(__xludf.DUMMYFUNCTION("""COMPUTED_VALUE"""),"dados")</f>
        <v>dados</v>
      </c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</row>
    <row r="603">
      <c r="A603" s="22"/>
      <c r="B603" s="23"/>
      <c r="C603" s="24"/>
      <c r="D603" s="24"/>
      <c r="E603" s="18"/>
      <c r="F603" s="18"/>
      <c r="G603" s="25">
        <f t="shared" ref="G603:I603" si="503">G602</f>
        <v>2018</v>
      </c>
      <c r="H603" s="20" t="str">
        <f t="shared" si="503"/>
        <v>rcrput2018</v>
      </c>
      <c r="I603" s="20" t="str">
        <f t="shared" si="503"/>
        <v>REVOLUÇÃO CIENTÍFICA? Reflexões para uma teoria crítica da ciência dos dados</v>
      </c>
      <c r="J603" s="20" t="str">
        <f t="shared" si="2"/>
        <v>big data</v>
      </c>
      <c r="K603" s="20"/>
      <c r="L603" s="20" t="str">
        <f t="shared" si="3"/>
        <v>big data</v>
      </c>
      <c r="M603" s="18"/>
      <c r="N603" s="21" t="str">
        <f>IFERROR(__xludf.DUMMYFUNCTION("""COMPUTED_VALUE""")," big data")</f>
        <v> big data</v>
      </c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</row>
    <row r="604">
      <c r="A604" s="22"/>
      <c r="B604" s="23"/>
      <c r="C604" s="24"/>
      <c r="D604" s="24"/>
      <c r="E604" s="18"/>
      <c r="F604" s="18"/>
      <c r="G604" s="25">
        <f t="shared" ref="G604:I604" si="504">G603</f>
        <v>2018</v>
      </c>
      <c r="H604" s="20" t="str">
        <f t="shared" si="504"/>
        <v>rcrput2018</v>
      </c>
      <c r="I604" s="20" t="str">
        <f t="shared" si="504"/>
        <v>REVOLUÇÃO CIENTÍFICA? Reflexões para uma teoria crítica da ciência dos dados</v>
      </c>
      <c r="J604" s="20" t="str">
        <f t="shared" si="2"/>
        <v>epistemologia</v>
      </c>
      <c r="K604" s="20"/>
      <c r="L604" s="20" t="str">
        <f t="shared" si="3"/>
        <v>epistemologia</v>
      </c>
      <c r="M604" s="18"/>
      <c r="N604" s="21" t="str">
        <f>IFERROR(__xludf.DUMMYFUNCTION("""COMPUTED_VALUE""")," epistemologia")</f>
        <v> epistemologia</v>
      </c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</row>
    <row r="605">
      <c r="A605" s="22"/>
      <c r="B605" s="23"/>
      <c r="C605" s="24"/>
      <c r="D605" s="24"/>
      <c r="E605" s="18"/>
      <c r="F605" s="18"/>
      <c r="G605" s="25">
        <f t="shared" ref="G605:I605" si="505">G604</f>
        <v>2018</v>
      </c>
      <c r="H605" s="20" t="str">
        <f t="shared" si="505"/>
        <v>rcrput2018</v>
      </c>
      <c r="I605" s="20" t="str">
        <f t="shared" si="505"/>
        <v>REVOLUÇÃO CIENTÍFICA? Reflexões para uma teoria crítica da ciência dos dados</v>
      </c>
      <c r="J605" s="20" t="str">
        <f t="shared" si="2"/>
        <v/>
      </c>
      <c r="K605" s="20"/>
      <c r="L605" s="20" t="str">
        <f t="shared" si="3"/>
        <v/>
      </c>
      <c r="M605" s="18"/>
      <c r="N605" s="21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</row>
    <row r="606">
      <c r="A606" s="22"/>
      <c r="B606" s="23"/>
      <c r="C606" s="24"/>
      <c r="D606" s="24"/>
      <c r="E606" s="18"/>
      <c r="F606" s="18"/>
      <c r="G606" s="25">
        <f t="shared" ref="G606:I606" si="506">G605</f>
        <v>2018</v>
      </c>
      <c r="H606" s="20" t="str">
        <f t="shared" si="506"/>
        <v>rcrput2018</v>
      </c>
      <c r="I606" s="20" t="str">
        <f t="shared" si="506"/>
        <v>REVOLUÇÃO CIENTÍFICA? Reflexões para uma teoria crítica da ciência dos dados</v>
      </c>
      <c r="J606" s="20" t="str">
        <f t="shared" si="2"/>
        <v/>
      </c>
      <c r="K606" s="20"/>
      <c r="L606" s="20" t="str">
        <f t="shared" si="3"/>
        <v/>
      </c>
      <c r="M606" s="18"/>
      <c r="N606" s="21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</row>
    <row r="607">
      <c r="A607" s="8"/>
      <c r="B607" s="23"/>
      <c r="C607" s="24"/>
      <c r="D607" s="24"/>
      <c r="E607" s="18"/>
      <c r="F607" s="18"/>
      <c r="G607" s="25">
        <f t="shared" ref="G607:I607" si="507">G606</f>
        <v>2018</v>
      </c>
      <c r="H607" s="20" t="str">
        <f t="shared" si="507"/>
        <v>rcrput2018</v>
      </c>
      <c r="I607" s="20" t="str">
        <f t="shared" si="507"/>
        <v>REVOLUÇÃO CIENTÍFICA? Reflexões para uma teoria crítica da ciência dos dados</v>
      </c>
      <c r="J607" s="20" t="str">
        <f t="shared" si="2"/>
        <v/>
      </c>
      <c r="K607" s="20"/>
      <c r="L607" s="20" t="str">
        <f t="shared" si="3"/>
        <v/>
      </c>
      <c r="M607" s="18"/>
      <c r="N607" s="21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</row>
    <row r="608">
      <c r="A608" s="8" t="s">
        <v>54</v>
      </c>
      <c r="B608" s="9">
        <v>2018.0</v>
      </c>
      <c r="C608" s="10" t="s">
        <v>256</v>
      </c>
      <c r="D608" s="10" t="s">
        <v>257</v>
      </c>
      <c r="E608" s="18"/>
      <c r="F608" s="18"/>
      <c r="G608" s="12">
        <f>B608</f>
        <v>2018</v>
      </c>
      <c r="H608" s="13" t="str">
        <f>LOWER(left(O608,1)&amp;left(P608,1)&amp;left(Q608,1)&amp;left(R608,1)&amp;left(S608,1)&amp;left(T608,1))&amp;G608</f>
        <v>rdddpi2018</v>
      </c>
      <c r="I608" s="20" t="str">
        <f>trim(C608)</f>
        <v>REPOSITÓRIOS DE DADOS DE PESQUISA: INVESTIGANDO SUA ADOÇÃO NOS INSTITUTOS BRASILEIROS DE PESQUISA</v>
      </c>
      <c r="J608" s="20" t="str">
        <f t="shared" si="2"/>
        <v>Repositório de dados científicos</v>
      </c>
      <c r="K608" s="20"/>
      <c r="L608" s="20" t="str">
        <f t="shared" si="3"/>
        <v>repositório de dados científicos</v>
      </c>
      <c r="M608" s="18"/>
      <c r="N608" s="21" t="str">
        <f>IFERROR(__xludf.DUMMYFUNCTION("TRANSPOSE(split(D608,"";"",true,true))"),"Repositório de dados científicos")</f>
        <v>Repositório de dados científicos</v>
      </c>
      <c r="O608" s="6" t="str">
        <f>IFERROR(__xludf.DUMMYFUNCTION("split(C608,"" "")"),"REPOSITÓRIOS")</f>
        <v>REPOSITÓRIOS</v>
      </c>
      <c r="P608" s="18" t="str">
        <f>IFERROR(__xludf.DUMMYFUNCTION("""COMPUTED_VALUE"""),"DE")</f>
        <v>DE</v>
      </c>
      <c r="Q608" s="18" t="str">
        <f>IFERROR(__xludf.DUMMYFUNCTION("""COMPUTED_VALUE"""),"DADOS")</f>
        <v>DADOS</v>
      </c>
      <c r="R608" s="18" t="str">
        <f>IFERROR(__xludf.DUMMYFUNCTION("""COMPUTED_VALUE"""),"DE")</f>
        <v>DE</v>
      </c>
      <c r="S608" s="18" t="str">
        <f>IFERROR(__xludf.DUMMYFUNCTION("""COMPUTED_VALUE"""),"PESQUISA:")</f>
        <v>PESQUISA:</v>
      </c>
      <c r="T608" s="18" t="str">
        <f>IFERROR(__xludf.DUMMYFUNCTION("""COMPUTED_VALUE"""),"INVESTIGANDO")</f>
        <v>INVESTIGANDO</v>
      </c>
      <c r="U608" s="18" t="str">
        <f>IFERROR(__xludf.DUMMYFUNCTION("""COMPUTED_VALUE"""),"SUA")</f>
        <v>SUA</v>
      </c>
      <c r="V608" s="18" t="str">
        <f>IFERROR(__xludf.DUMMYFUNCTION("""COMPUTED_VALUE"""),"ADOÇÃO")</f>
        <v>ADOÇÃO</v>
      </c>
      <c r="W608" s="18" t="str">
        <f>IFERROR(__xludf.DUMMYFUNCTION("""COMPUTED_VALUE"""),"NOS")</f>
        <v>NOS</v>
      </c>
      <c r="X608" s="18" t="str">
        <f>IFERROR(__xludf.DUMMYFUNCTION("""COMPUTED_VALUE"""),"INSTITUTOS")</f>
        <v>INSTITUTOS</v>
      </c>
      <c r="Y608" s="18" t="str">
        <f>IFERROR(__xludf.DUMMYFUNCTION("""COMPUTED_VALUE"""),"BRASILEIROS")</f>
        <v>BRASILEIROS</v>
      </c>
      <c r="Z608" s="18" t="str">
        <f>IFERROR(__xludf.DUMMYFUNCTION("""COMPUTED_VALUE"""),"DE")</f>
        <v>DE</v>
      </c>
      <c r="AA608" s="18" t="str">
        <f>IFERROR(__xludf.DUMMYFUNCTION("""COMPUTED_VALUE"""),"PESQUISA")</f>
        <v>PESQUISA</v>
      </c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</row>
    <row r="609">
      <c r="A609" s="22"/>
      <c r="B609" s="23"/>
      <c r="C609" s="24"/>
      <c r="D609" s="24"/>
      <c r="E609" s="18"/>
      <c r="F609" s="18"/>
      <c r="G609" s="25">
        <f t="shared" ref="G609:I609" si="508">G608</f>
        <v>2018</v>
      </c>
      <c r="H609" s="20" t="str">
        <f t="shared" si="508"/>
        <v>rdddpi2018</v>
      </c>
      <c r="I609" s="20" t="str">
        <f t="shared" si="508"/>
        <v>REPOSITÓRIOS DE DADOS DE PESQUISA: INVESTIGANDO SUA ADOÇÃO NOS INSTITUTOS BRASILEIROS DE PESQUISA</v>
      </c>
      <c r="J609" s="20" t="str">
        <f t="shared" si="2"/>
        <v>Instituições brasileiras de pesquisa</v>
      </c>
      <c r="K609" s="20"/>
      <c r="L609" s="20" t="str">
        <f t="shared" si="3"/>
        <v>instituições brasileiras de pesquisa</v>
      </c>
      <c r="M609" s="18"/>
      <c r="N609" s="21" t="str">
        <f>IFERROR(__xludf.DUMMYFUNCTION("""COMPUTED_VALUE""")," Instituições brasileiras de pesquisa")</f>
        <v> Instituições brasileiras de pesquisa</v>
      </c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</row>
    <row r="610">
      <c r="A610" s="22"/>
      <c r="B610" s="23"/>
      <c r="C610" s="24"/>
      <c r="D610" s="24"/>
      <c r="E610" s="18"/>
      <c r="F610" s="18"/>
      <c r="G610" s="25">
        <f t="shared" ref="G610:I610" si="509">G609</f>
        <v>2018</v>
      </c>
      <c r="H610" s="20" t="str">
        <f t="shared" si="509"/>
        <v>rdddpi2018</v>
      </c>
      <c r="I610" s="20" t="str">
        <f t="shared" si="509"/>
        <v>REPOSITÓRIOS DE DADOS DE PESQUISA: INVESTIGANDO SUA ADOÇÃO NOS INSTITUTOS BRASILEIROS DE PESQUISA</v>
      </c>
      <c r="J610" s="20" t="str">
        <f t="shared" si="2"/>
        <v>Gestão de dados de pesquisa</v>
      </c>
      <c r="K610" s="20"/>
      <c r="L610" s="20" t="str">
        <f t="shared" si="3"/>
        <v>gestão de dados de pesquisa</v>
      </c>
      <c r="M610" s="18"/>
      <c r="N610" s="21" t="str">
        <f>IFERROR(__xludf.DUMMYFUNCTION("""COMPUTED_VALUE""")," Gestão de dados de pesquisa")</f>
        <v> Gestão de dados de pesquisa</v>
      </c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</row>
    <row r="611">
      <c r="A611" s="22"/>
      <c r="B611" s="23"/>
      <c r="C611" s="24"/>
      <c r="D611" s="24"/>
      <c r="E611" s="18"/>
      <c r="F611" s="18"/>
      <c r="G611" s="25">
        <f t="shared" ref="G611:I611" si="510">G610</f>
        <v>2018</v>
      </c>
      <c r="H611" s="20" t="str">
        <f t="shared" si="510"/>
        <v>rdddpi2018</v>
      </c>
      <c r="I611" s="20" t="str">
        <f t="shared" si="510"/>
        <v>REPOSITÓRIOS DE DADOS DE PESQUISA: INVESTIGANDO SUA ADOÇÃO NOS INSTITUTOS BRASILEIROS DE PESQUISA</v>
      </c>
      <c r="J611" s="20" t="str">
        <f t="shared" si="2"/>
        <v/>
      </c>
      <c r="K611" s="20"/>
      <c r="L611" s="20" t="str">
        <f t="shared" si="3"/>
        <v/>
      </c>
      <c r="M611" s="18"/>
      <c r="N611" s="21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</row>
    <row r="612">
      <c r="A612" s="22"/>
      <c r="B612" s="23"/>
      <c r="C612" s="24"/>
      <c r="D612" s="24"/>
      <c r="E612" s="18"/>
      <c r="F612" s="18"/>
      <c r="G612" s="25">
        <f t="shared" ref="G612:I612" si="511">G611</f>
        <v>2018</v>
      </c>
      <c r="H612" s="20" t="str">
        <f t="shared" si="511"/>
        <v>rdddpi2018</v>
      </c>
      <c r="I612" s="20" t="str">
        <f t="shared" si="511"/>
        <v>REPOSITÓRIOS DE DADOS DE PESQUISA: INVESTIGANDO SUA ADOÇÃO NOS INSTITUTOS BRASILEIROS DE PESQUISA</v>
      </c>
      <c r="J612" s="20" t="str">
        <f t="shared" si="2"/>
        <v/>
      </c>
      <c r="K612" s="20"/>
      <c r="L612" s="20" t="str">
        <f t="shared" si="3"/>
        <v/>
      </c>
      <c r="M612" s="18"/>
      <c r="N612" s="21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</row>
    <row r="613">
      <c r="A613" s="8"/>
      <c r="B613" s="23"/>
      <c r="C613" s="24"/>
      <c r="D613" s="24"/>
      <c r="E613" s="18"/>
      <c r="F613" s="18"/>
      <c r="G613" s="25">
        <f t="shared" ref="G613:I613" si="512">G612</f>
        <v>2018</v>
      </c>
      <c r="H613" s="20" t="str">
        <f t="shared" si="512"/>
        <v>rdddpi2018</v>
      </c>
      <c r="I613" s="20" t="str">
        <f t="shared" si="512"/>
        <v>REPOSITÓRIOS DE DADOS DE PESQUISA: INVESTIGANDO SUA ADOÇÃO NOS INSTITUTOS BRASILEIROS DE PESQUISA</v>
      </c>
      <c r="J613" s="20" t="str">
        <f t="shared" si="2"/>
        <v/>
      </c>
      <c r="K613" s="20"/>
      <c r="L613" s="20" t="str">
        <f t="shared" si="3"/>
        <v/>
      </c>
      <c r="M613" s="18"/>
      <c r="N613" s="21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</row>
    <row r="614">
      <c r="A614" s="8" t="s">
        <v>54</v>
      </c>
      <c r="B614" s="9">
        <v>2018.0</v>
      </c>
      <c r="C614" s="10" t="s">
        <v>258</v>
      </c>
      <c r="D614" s="10" t="s">
        <v>259</v>
      </c>
      <c r="E614" s="18"/>
      <c r="F614" s="18"/>
      <c r="G614" s="12">
        <f>B614</f>
        <v>2018</v>
      </c>
      <c r="H614" s="13" t="str">
        <f>LOWER(left(O614,1)&amp;left(P614,1)&amp;left(Q614,1)&amp;left(R614,1)&amp;left(S614,1)&amp;left(T614,1))&amp;G614</f>
        <v>rdener2018</v>
      </c>
      <c r="I614" s="20" t="str">
        <f>trim(C614)</f>
        <v>RECONHECIMENTO DE ENTIDADES NOMEADAS EM RELATÓRIOS DE INTELIGÊNCIA FINANCEIRA</v>
      </c>
      <c r="J614" s="20" t="str">
        <f t="shared" si="2"/>
        <v>Reconhecimento de Entidades Nomeadas</v>
      </c>
      <c r="K614" s="20"/>
      <c r="L614" s="20" t="str">
        <f t="shared" si="3"/>
        <v>reconhecimento de entidades nomeadas</v>
      </c>
      <c r="M614" s="18"/>
      <c r="N614" s="21" t="str">
        <f>IFERROR(__xludf.DUMMYFUNCTION("TRANSPOSE(split(D614,"";"",true,true))"),"Reconhecimento de Entidades Nomeadas")</f>
        <v>Reconhecimento de Entidades Nomeadas</v>
      </c>
      <c r="O614" s="6" t="str">
        <f>IFERROR(__xludf.DUMMYFUNCTION("split(C614,"" "")"),"RECONHECIMENTO")</f>
        <v>RECONHECIMENTO</v>
      </c>
      <c r="P614" s="18" t="str">
        <f>IFERROR(__xludf.DUMMYFUNCTION("""COMPUTED_VALUE"""),"DE")</f>
        <v>DE</v>
      </c>
      <c r="Q614" s="18" t="str">
        <f>IFERROR(__xludf.DUMMYFUNCTION("""COMPUTED_VALUE"""),"ENTIDADES")</f>
        <v>ENTIDADES</v>
      </c>
      <c r="R614" s="18" t="str">
        <f>IFERROR(__xludf.DUMMYFUNCTION("""COMPUTED_VALUE"""),"NOMEADAS")</f>
        <v>NOMEADAS</v>
      </c>
      <c r="S614" s="18" t="str">
        <f>IFERROR(__xludf.DUMMYFUNCTION("""COMPUTED_VALUE"""),"EM")</f>
        <v>EM</v>
      </c>
      <c r="T614" s="18" t="str">
        <f>IFERROR(__xludf.DUMMYFUNCTION("""COMPUTED_VALUE"""),"RELATÓRIOS")</f>
        <v>RELATÓRIOS</v>
      </c>
      <c r="U614" s="18" t="str">
        <f>IFERROR(__xludf.DUMMYFUNCTION("""COMPUTED_VALUE"""),"DE")</f>
        <v>DE</v>
      </c>
      <c r="V614" s="18" t="str">
        <f>IFERROR(__xludf.DUMMYFUNCTION("""COMPUTED_VALUE"""),"INTELIGÊNCIA")</f>
        <v>INTELIGÊNCIA</v>
      </c>
      <c r="W614" s="18" t="str">
        <f>IFERROR(__xludf.DUMMYFUNCTION("""COMPUTED_VALUE"""),"FINANCEIRA")</f>
        <v>FINANCEIRA</v>
      </c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</row>
    <row r="615">
      <c r="A615" s="22"/>
      <c r="B615" s="23"/>
      <c r="C615" s="24"/>
      <c r="D615" s="24"/>
      <c r="E615" s="18"/>
      <c r="F615" s="18"/>
      <c r="G615" s="25">
        <f t="shared" ref="G615:I615" si="513">G614</f>
        <v>2018</v>
      </c>
      <c r="H615" s="20" t="str">
        <f t="shared" si="513"/>
        <v>rdener2018</v>
      </c>
      <c r="I615" s="20" t="str">
        <f t="shared" si="513"/>
        <v>RECONHECIMENTO DE ENTIDADES NOMEADAS EM RELATÓRIOS DE INTELIGÊNCIA FINANCEIRA</v>
      </c>
      <c r="J615" s="20" t="str">
        <f t="shared" si="2"/>
        <v>Mineração de Texto</v>
      </c>
      <c r="K615" s="20"/>
      <c r="L615" s="20" t="str">
        <f t="shared" si="3"/>
        <v>mineração de texto</v>
      </c>
      <c r="M615" s="18"/>
      <c r="N615" s="21" t="str">
        <f>IFERROR(__xludf.DUMMYFUNCTION("""COMPUTED_VALUE""")," Mineração de Texto")</f>
        <v> Mineração de Texto</v>
      </c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</row>
    <row r="616">
      <c r="A616" s="22"/>
      <c r="B616" s="23"/>
      <c r="C616" s="24"/>
      <c r="D616" s="24"/>
      <c r="E616" s="18"/>
      <c r="F616" s="18"/>
      <c r="G616" s="25">
        <f t="shared" ref="G616:I616" si="514">G615</f>
        <v>2018</v>
      </c>
      <c r="H616" s="20" t="str">
        <f t="shared" si="514"/>
        <v>rdener2018</v>
      </c>
      <c r="I616" s="20" t="str">
        <f t="shared" si="514"/>
        <v>RECONHECIMENTO DE ENTIDADES NOMEADAS EM RELATÓRIOS DE INTELIGÊNCIA FINANCEIRA</v>
      </c>
      <c r="J616" s="20" t="str">
        <f t="shared" si="2"/>
        <v>Relatório de Inteligência Financeira</v>
      </c>
      <c r="K616" s="20"/>
      <c r="L616" s="20" t="str">
        <f t="shared" si="3"/>
        <v>relatório de inteligência financeira</v>
      </c>
      <c r="M616" s="18"/>
      <c r="N616" s="21" t="str">
        <f>IFERROR(__xludf.DUMMYFUNCTION("""COMPUTED_VALUE""")," Relatório de Inteligência Financeira")</f>
        <v> Relatório de Inteligência Financeira</v>
      </c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</row>
    <row r="617">
      <c r="A617" s="22"/>
      <c r="B617" s="23"/>
      <c r="C617" s="24"/>
      <c r="D617" s="24"/>
      <c r="E617" s="18"/>
      <c r="F617" s="18"/>
      <c r="G617" s="25">
        <f t="shared" ref="G617:I617" si="515">G616</f>
        <v>2018</v>
      </c>
      <c r="H617" s="20" t="str">
        <f t="shared" si="515"/>
        <v>rdener2018</v>
      </c>
      <c r="I617" s="20" t="str">
        <f t="shared" si="515"/>
        <v>RECONHECIMENTO DE ENTIDADES NOMEADAS EM RELATÓRIOS DE INTELIGÊNCIA FINANCEIRA</v>
      </c>
      <c r="J617" s="20" t="str">
        <f t="shared" si="2"/>
        <v>Processamento de Linguagem Natura</v>
      </c>
      <c r="K617" s="20"/>
      <c r="L617" s="20" t="str">
        <f t="shared" si="3"/>
        <v>processamento de linguagem natura</v>
      </c>
      <c r="M617" s="18"/>
      <c r="N617" s="21" t="str">
        <f>IFERROR(__xludf.DUMMYFUNCTION("""COMPUTED_VALUE""")," Processamento de Linguagem Natura")</f>
        <v> Processamento de Linguagem Natura</v>
      </c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</row>
    <row r="618">
      <c r="A618" s="22"/>
      <c r="B618" s="23"/>
      <c r="C618" s="24"/>
      <c r="D618" s="24"/>
      <c r="E618" s="18"/>
      <c r="F618" s="18"/>
      <c r="G618" s="25">
        <f t="shared" ref="G618:I618" si="516">G617</f>
        <v>2018</v>
      </c>
      <c r="H618" s="20" t="str">
        <f t="shared" si="516"/>
        <v>rdener2018</v>
      </c>
      <c r="I618" s="20" t="str">
        <f t="shared" si="516"/>
        <v>RECONHECIMENTO DE ENTIDADES NOMEADAS EM RELATÓRIOS DE INTELIGÊNCIA FINANCEIRA</v>
      </c>
      <c r="J618" s="20" t="str">
        <f t="shared" si="2"/>
        <v/>
      </c>
      <c r="K618" s="20"/>
      <c r="L618" s="20" t="str">
        <f t="shared" si="3"/>
        <v/>
      </c>
      <c r="M618" s="18"/>
      <c r="N618" s="21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</row>
    <row r="619">
      <c r="A619" s="8"/>
      <c r="B619" s="23"/>
      <c r="C619" s="24"/>
      <c r="D619" s="24"/>
      <c r="E619" s="18"/>
      <c r="F619" s="18"/>
      <c r="G619" s="25">
        <f t="shared" ref="G619:I619" si="517">G618</f>
        <v>2018</v>
      </c>
      <c r="H619" s="20" t="str">
        <f t="shared" si="517"/>
        <v>rdener2018</v>
      </c>
      <c r="I619" s="20" t="str">
        <f t="shared" si="517"/>
        <v>RECONHECIMENTO DE ENTIDADES NOMEADAS EM RELATÓRIOS DE INTELIGÊNCIA FINANCEIRA</v>
      </c>
      <c r="J619" s="20" t="str">
        <f t="shared" si="2"/>
        <v/>
      </c>
      <c r="K619" s="20"/>
      <c r="L619" s="20" t="str">
        <f t="shared" si="3"/>
        <v/>
      </c>
      <c r="M619" s="18"/>
      <c r="N619" s="21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</row>
    <row r="620">
      <c r="A620" s="8" t="s">
        <v>54</v>
      </c>
      <c r="B620" s="9">
        <v>2018.0</v>
      </c>
      <c r="C620" s="10" t="s">
        <v>260</v>
      </c>
      <c r="D620" s="10" t="s">
        <v>261</v>
      </c>
      <c r="E620" s="18"/>
      <c r="F620" s="18"/>
      <c r="G620" s="12">
        <f>B620</f>
        <v>2018</v>
      </c>
      <c r="H620" s="13" t="str">
        <f>LOWER(left(O620,1)&amp;left(P620,1)&amp;left(Q620,1)&amp;left(R620,1)&amp;left(S620,1)&amp;left(T620,1))&amp;G620</f>
        <v>pdmpdd2018</v>
      </c>
      <c r="I620" s="20" t="str">
        <f>trim(C620)</f>
        <v>Padrões de metadados para descrição de dados: panorama dos repositórios de dados na América Latina</v>
      </c>
      <c r="J620" s="20" t="str">
        <f t="shared" si="2"/>
        <v>Descrição de conjuntos de dados</v>
      </c>
      <c r="K620" s="20"/>
      <c r="L620" s="20" t="str">
        <f t="shared" si="3"/>
        <v>descrição de conjuntos de dados</v>
      </c>
      <c r="M620" s="18"/>
      <c r="N620" s="21" t="str">
        <f>IFERROR(__xludf.DUMMYFUNCTION("TRANSPOSE(split(D620,"";"",true,true))"),"Descrição de conjuntos de dados")</f>
        <v>Descrição de conjuntos de dados</v>
      </c>
      <c r="O620" s="6" t="str">
        <f>IFERROR(__xludf.DUMMYFUNCTION("split(C620,"" "")"),"Padrões")</f>
        <v>Padrões</v>
      </c>
      <c r="P620" s="18" t="str">
        <f>IFERROR(__xludf.DUMMYFUNCTION("""COMPUTED_VALUE"""),"de")</f>
        <v>de</v>
      </c>
      <c r="Q620" s="18" t="str">
        <f>IFERROR(__xludf.DUMMYFUNCTION("""COMPUTED_VALUE"""),"metadados")</f>
        <v>metadados</v>
      </c>
      <c r="R620" s="18" t="str">
        <f>IFERROR(__xludf.DUMMYFUNCTION("""COMPUTED_VALUE"""),"para")</f>
        <v>para</v>
      </c>
      <c r="S620" s="18" t="str">
        <f>IFERROR(__xludf.DUMMYFUNCTION("""COMPUTED_VALUE"""),"descrição")</f>
        <v>descrição</v>
      </c>
      <c r="T620" s="18" t="str">
        <f>IFERROR(__xludf.DUMMYFUNCTION("""COMPUTED_VALUE"""),"de")</f>
        <v>de</v>
      </c>
      <c r="U620" s="18" t="str">
        <f>IFERROR(__xludf.DUMMYFUNCTION("""COMPUTED_VALUE"""),"dados:")</f>
        <v>dados:</v>
      </c>
      <c r="V620" s="18" t="str">
        <f>IFERROR(__xludf.DUMMYFUNCTION("""COMPUTED_VALUE"""),"panorama")</f>
        <v>panorama</v>
      </c>
      <c r="W620" s="18" t="str">
        <f>IFERROR(__xludf.DUMMYFUNCTION("""COMPUTED_VALUE"""),"dos")</f>
        <v>dos</v>
      </c>
      <c r="X620" s="18" t="str">
        <f>IFERROR(__xludf.DUMMYFUNCTION("""COMPUTED_VALUE"""),"repositórios")</f>
        <v>repositórios</v>
      </c>
      <c r="Y620" s="18" t="str">
        <f>IFERROR(__xludf.DUMMYFUNCTION("""COMPUTED_VALUE"""),"de")</f>
        <v>de</v>
      </c>
      <c r="Z620" s="18" t="str">
        <f>IFERROR(__xludf.DUMMYFUNCTION("""COMPUTED_VALUE"""),"dados")</f>
        <v>dados</v>
      </c>
      <c r="AA620" s="18" t="str">
        <f>IFERROR(__xludf.DUMMYFUNCTION("""COMPUTED_VALUE"""),"na")</f>
        <v>na</v>
      </c>
      <c r="AB620" s="18" t="str">
        <f>IFERROR(__xludf.DUMMYFUNCTION("""COMPUTED_VALUE"""),"América")</f>
        <v>América</v>
      </c>
      <c r="AC620" s="18" t="str">
        <f>IFERROR(__xludf.DUMMYFUNCTION("""COMPUTED_VALUE"""),"Latina")</f>
        <v>Latina</v>
      </c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</row>
    <row r="621">
      <c r="A621" s="22"/>
      <c r="B621" s="23"/>
      <c r="C621" s="24"/>
      <c r="D621" s="24"/>
      <c r="E621" s="18"/>
      <c r="F621" s="18"/>
      <c r="G621" s="25">
        <f t="shared" ref="G621:I621" si="518">G620</f>
        <v>2018</v>
      </c>
      <c r="H621" s="20" t="str">
        <f t="shared" si="518"/>
        <v>pdmpdd2018</v>
      </c>
      <c r="I621" s="20" t="str">
        <f t="shared" si="518"/>
        <v>Padrões de metadados para descrição de dados: panorama dos repositórios de dados na América Latina</v>
      </c>
      <c r="J621" s="20" t="str">
        <f t="shared" si="2"/>
        <v>Metadados</v>
      </c>
      <c r="K621" s="20"/>
      <c r="L621" s="20" t="str">
        <f t="shared" si="3"/>
        <v>metadados</v>
      </c>
      <c r="M621" s="18"/>
      <c r="N621" s="21" t="str">
        <f>IFERROR(__xludf.DUMMYFUNCTION("""COMPUTED_VALUE""")," Metadados")</f>
        <v> Metadados</v>
      </c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</row>
    <row r="622">
      <c r="A622" s="22"/>
      <c r="B622" s="23"/>
      <c r="C622" s="24"/>
      <c r="D622" s="24"/>
      <c r="E622" s="18"/>
      <c r="F622" s="18"/>
      <c r="G622" s="25">
        <f t="shared" ref="G622:I622" si="519">G621</f>
        <v>2018</v>
      </c>
      <c r="H622" s="20" t="str">
        <f t="shared" si="519"/>
        <v>pdmpdd2018</v>
      </c>
      <c r="I622" s="20" t="str">
        <f t="shared" si="519"/>
        <v>Padrões de metadados para descrição de dados: panorama dos repositórios de dados na América Latina</v>
      </c>
      <c r="J622" s="20" t="str">
        <f t="shared" si="2"/>
        <v>Repositório de dados</v>
      </c>
      <c r="K622" s="20"/>
      <c r="L622" s="20" t="str">
        <f t="shared" si="3"/>
        <v>repositório de dados</v>
      </c>
      <c r="M622" s="18"/>
      <c r="N622" s="21" t="str">
        <f>IFERROR(__xludf.DUMMYFUNCTION("""COMPUTED_VALUE""")," Repositório de dados")</f>
        <v> Repositório de dados</v>
      </c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</row>
    <row r="623">
      <c r="A623" s="22"/>
      <c r="B623" s="23"/>
      <c r="C623" s="24"/>
      <c r="D623" s="24"/>
      <c r="E623" s="18"/>
      <c r="F623" s="18"/>
      <c r="G623" s="25">
        <f t="shared" ref="G623:I623" si="520">G622</f>
        <v>2018</v>
      </c>
      <c r="H623" s="20" t="str">
        <f t="shared" si="520"/>
        <v>pdmpdd2018</v>
      </c>
      <c r="I623" s="20" t="str">
        <f t="shared" si="520"/>
        <v>Padrões de metadados para descrição de dados: panorama dos repositórios de dados na América Latina</v>
      </c>
      <c r="J623" s="20" t="str">
        <f t="shared" si="2"/>
        <v/>
      </c>
      <c r="K623" s="20"/>
      <c r="L623" s="20" t="str">
        <f t="shared" si="3"/>
        <v/>
      </c>
      <c r="M623" s="18"/>
      <c r="N623" s="21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</row>
    <row r="624">
      <c r="A624" s="22"/>
      <c r="B624" s="23"/>
      <c r="C624" s="24"/>
      <c r="D624" s="24"/>
      <c r="E624" s="18"/>
      <c r="F624" s="18"/>
      <c r="G624" s="25">
        <f t="shared" ref="G624:I624" si="521">G623</f>
        <v>2018</v>
      </c>
      <c r="H624" s="20" t="str">
        <f t="shared" si="521"/>
        <v>pdmpdd2018</v>
      </c>
      <c r="I624" s="20" t="str">
        <f t="shared" si="521"/>
        <v>Padrões de metadados para descrição de dados: panorama dos repositórios de dados na América Latina</v>
      </c>
      <c r="J624" s="20" t="str">
        <f t="shared" si="2"/>
        <v/>
      </c>
      <c r="K624" s="20"/>
      <c r="L624" s="20" t="str">
        <f t="shared" si="3"/>
        <v/>
      </c>
      <c r="M624" s="18"/>
      <c r="N624" s="21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</row>
    <row r="625">
      <c r="A625" s="8"/>
      <c r="B625" s="23"/>
      <c r="C625" s="24"/>
      <c r="D625" s="24"/>
      <c r="E625" s="18"/>
      <c r="F625" s="18"/>
      <c r="G625" s="25">
        <f t="shared" ref="G625:I625" si="522">G624</f>
        <v>2018</v>
      </c>
      <c r="H625" s="20" t="str">
        <f t="shared" si="522"/>
        <v>pdmpdd2018</v>
      </c>
      <c r="I625" s="20" t="str">
        <f t="shared" si="522"/>
        <v>Padrões de metadados para descrição de dados: panorama dos repositórios de dados na América Latina</v>
      </c>
      <c r="J625" s="20" t="str">
        <f t="shared" si="2"/>
        <v/>
      </c>
      <c r="K625" s="20"/>
      <c r="L625" s="20" t="str">
        <f t="shared" si="3"/>
        <v/>
      </c>
      <c r="M625" s="18"/>
      <c r="N625" s="21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</row>
    <row r="626">
      <c r="A626" s="8" t="s">
        <v>54</v>
      </c>
      <c r="B626" s="9">
        <v>2018.0</v>
      </c>
      <c r="C626" s="10" t="s">
        <v>262</v>
      </c>
      <c r="D626" s="10" t="s">
        <v>263</v>
      </c>
      <c r="E626" s="18"/>
      <c r="F626" s="18"/>
      <c r="G626" s="12">
        <f>B626</f>
        <v>2018</v>
      </c>
      <c r="H626" s="13" t="str">
        <f>LOWER(left(O626,1)&amp;left(P626,1)&amp;left(Q626,1)&amp;left(R626,1)&amp;left(S626,1)&amp;left(T626,1))&amp;G626</f>
        <v>otbdqd2018</v>
      </c>
      <c r="I626" s="20" t="str">
        <f>trim(C626)</f>
        <v>O termo Big Data: quebra de paradigma dos n-V’s</v>
      </c>
      <c r="J626" s="20" t="str">
        <f t="shared" si="2"/>
        <v>Big Data</v>
      </c>
      <c r="K626" s="20"/>
      <c r="L626" s="20" t="str">
        <f t="shared" si="3"/>
        <v>big data</v>
      </c>
      <c r="M626" s="18"/>
      <c r="N626" s="21" t="str">
        <f>IFERROR(__xludf.DUMMYFUNCTION("TRANSPOSE(split(D626,"";"",true,true))"),"Big Data")</f>
        <v>Big Data</v>
      </c>
      <c r="O626" s="6" t="str">
        <f>IFERROR(__xludf.DUMMYFUNCTION("split(C626,"" "")"),"O")</f>
        <v>O</v>
      </c>
      <c r="P626" s="18" t="str">
        <f>IFERROR(__xludf.DUMMYFUNCTION("""COMPUTED_VALUE"""),"termo")</f>
        <v>termo</v>
      </c>
      <c r="Q626" s="18" t="str">
        <f>IFERROR(__xludf.DUMMYFUNCTION("""COMPUTED_VALUE"""),"Big")</f>
        <v>Big</v>
      </c>
      <c r="R626" s="18" t="str">
        <f>IFERROR(__xludf.DUMMYFUNCTION("""COMPUTED_VALUE"""),"Data:")</f>
        <v>Data:</v>
      </c>
      <c r="S626" s="18" t="str">
        <f>IFERROR(__xludf.DUMMYFUNCTION("""COMPUTED_VALUE"""),"quebra")</f>
        <v>quebra</v>
      </c>
      <c r="T626" s="18" t="str">
        <f>IFERROR(__xludf.DUMMYFUNCTION("""COMPUTED_VALUE"""),"de")</f>
        <v>de</v>
      </c>
      <c r="U626" s="18" t="str">
        <f>IFERROR(__xludf.DUMMYFUNCTION("""COMPUTED_VALUE"""),"paradigma")</f>
        <v>paradigma</v>
      </c>
      <c r="V626" s="18" t="str">
        <f>IFERROR(__xludf.DUMMYFUNCTION("""COMPUTED_VALUE"""),"dos")</f>
        <v>dos</v>
      </c>
      <c r="W626" s="18" t="str">
        <f>IFERROR(__xludf.DUMMYFUNCTION("""COMPUTED_VALUE"""),"n-V’s")</f>
        <v>n-V’s</v>
      </c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</row>
    <row r="627">
      <c r="A627" s="22"/>
      <c r="B627" s="23"/>
      <c r="C627" s="24"/>
      <c r="D627" s="24"/>
      <c r="E627" s="18"/>
      <c r="F627" s="18"/>
      <c r="G627" s="25">
        <f t="shared" ref="G627:I627" si="523">G626</f>
        <v>2018</v>
      </c>
      <c r="H627" s="20" t="str">
        <f t="shared" si="523"/>
        <v>otbdqd2018</v>
      </c>
      <c r="I627" s="20" t="str">
        <f t="shared" si="523"/>
        <v>O termo Big Data: quebra de paradigma dos n-V’s</v>
      </c>
      <c r="J627" s="20" t="str">
        <f t="shared" si="2"/>
        <v>conceito</v>
      </c>
      <c r="K627" s="20"/>
      <c r="L627" s="20" t="str">
        <f t="shared" si="3"/>
        <v>conceito</v>
      </c>
      <c r="M627" s="18"/>
      <c r="N627" s="21" t="str">
        <f>IFERROR(__xludf.DUMMYFUNCTION("""COMPUTED_VALUE""")," conceito")</f>
        <v> conceito</v>
      </c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</row>
    <row r="628">
      <c r="A628" s="22"/>
      <c r="B628" s="23"/>
      <c r="C628" s="24"/>
      <c r="D628" s="24"/>
      <c r="E628" s="18"/>
      <c r="F628" s="18"/>
      <c r="G628" s="25">
        <f t="shared" ref="G628:I628" si="524">G627</f>
        <v>2018</v>
      </c>
      <c r="H628" s="20" t="str">
        <f t="shared" si="524"/>
        <v>otbdqd2018</v>
      </c>
      <c r="I628" s="20" t="str">
        <f t="shared" si="524"/>
        <v>O termo Big Data: quebra de paradigma dos n-V’s</v>
      </c>
      <c r="J628" s="20" t="str">
        <f t="shared" si="2"/>
        <v>viabilidade</v>
      </c>
      <c r="K628" s="20"/>
      <c r="L628" s="20" t="str">
        <f t="shared" si="3"/>
        <v>viabilidade</v>
      </c>
      <c r="M628" s="18"/>
      <c r="N628" s="21" t="str">
        <f>IFERROR(__xludf.DUMMYFUNCTION("""COMPUTED_VALUE""")," viabilidade")</f>
        <v> viabilidade</v>
      </c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</row>
    <row r="629">
      <c r="A629" s="22"/>
      <c r="B629" s="23"/>
      <c r="C629" s="24"/>
      <c r="D629" s="24"/>
      <c r="E629" s="18"/>
      <c r="F629" s="18"/>
      <c r="G629" s="25">
        <f t="shared" ref="G629:I629" si="525">G628</f>
        <v>2018</v>
      </c>
      <c r="H629" s="20" t="str">
        <f t="shared" si="525"/>
        <v>otbdqd2018</v>
      </c>
      <c r="I629" s="20" t="str">
        <f t="shared" si="525"/>
        <v>O termo Big Data: quebra de paradigma dos n-V’s</v>
      </c>
      <c r="J629" s="20" t="str">
        <f t="shared" si="2"/>
        <v>venalidade</v>
      </c>
      <c r="K629" s="20"/>
      <c r="L629" s="20" t="str">
        <f t="shared" si="3"/>
        <v>venalidade</v>
      </c>
      <c r="M629" s="18"/>
      <c r="N629" s="21" t="str">
        <f>IFERROR(__xludf.DUMMYFUNCTION("""COMPUTED_VALUE""")," venalidade")</f>
        <v> venalidade</v>
      </c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</row>
    <row r="630">
      <c r="A630" s="22"/>
      <c r="B630" s="23"/>
      <c r="C630" s="24"/>
      <c r="D630" s="24"/>
      <c r="E630" s="18"/>
      <c r="F630" s="18"/>
      <c r="G630" s="25">
        <f t="shared" ref="G630:I630" si="526">G629</f>
        <v>2018</v>
      </c>
      <c r="H630" s="20" t="str">
        <f t="shared" si="526"/>
        <v>otbdqd2018</v>
      </c>
      <c r="I630" s="20" t="str">
        <f t="shared" si="526"/>
        <v>O termo Big Data: quebra de paradigma dos n-V’s</v>
      </c>
      <c r="J630" s="20" t="str">
        <f t="shared" si="2"/>
        <v>n-V’s</v>
      </c>
      <c r="K630" s="20"/>
      <c r="L630" s="20" t="str">
        <f t="shared" si="3"/>
        <v>n-v’s</v>
      </c>
      <c r="M630" s="18"/>
      <c r="N630" s="21" t="str">
        <f>IFERROR(__xludf.DUMMYFUNCTION("""COMPUTED_VALUE""")," n-V’s")</f>
        <v> n-V’s</v>
      </c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</row>
    <row r="631">
      <c r="A631" s="8"/>
      <c r="B631" s="23"/>
      <c r="C631" s="24"/>
      <c r="D631" s="24"/>
      <c r="E631" s="18"/>
      <c r="F631" s="18"/>
      <c r="G631" s="25">
        <f t="shared" ref="G631:I631" si="527">G630</f>
        <v>2018</v>
      </c>
      <c r="H631" s="20" t="str">
        <f t="shared" si="527"/>
        <v>otbdqd2018</v>
      </c>
      <c r="I631" s="20" t="str">
        <f t="shared" si="527"/>
        <v>O termo Big Data: quebra de paradigma dos n-V’s</v>
      </c>
      <c r="J631" s="20" t="str">
        <f t="shared" si="2"/>
        <v/>
      </c>
      <c r="K631" s="20"/>
      <c r="L631" s="20" t="str">
        <f t="shared" si="3"/>
        <v/>
      </c>
      <c r="M631" s="18"/>
      <c r="N631" s="21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</row>
    <row r="632">
      <c r="A632" s="8" t="s">
        <v>54</v>
      </c>
      <c r="B632" s="9">
        <v>2018.0</v>
      </c>
      <c r="C632" s="10" t="s">
        <v>264</v>
      </c>
      <c r="D632" s="10" t="s">
        <v>265</v>
      </c>
      <c r="E632" s="18"/>
      <c r="F632" s="18"/>
      <c r="G632" s="12">
        <f>B632</f>
        <v>2018</v>
      </c>
      <c r="H632" s="13" t="str">
        <f>LOWER(left(O632,1)&amp;left(P632,1)&amp;left(Q632,1)&amp;left(R632,1)&amp;left(S632,1)&amp;left(T632,1))&amp;G632</f>
        <v>oedenâ2018</v>
      </c>
      <c r="I632" s="20" t="str">
        <f>trim(C632)</f>
        <v>O ensino da E-Science no âmbito dos Programas Brasileiros de Pós-Graduação em Ciência da Informação</v>
      </c>
      <c r="J632" s="20" t="str">
        <f t="shared" si="2"/>
        <v>e-Science</v>
      </c>
      <c r="K632" s="20"/>
      <c r="L632" s="20" t="str">
        <f t="shared" si="3"/>
        <v>e-science</v>
      </c>
      <c r="M632" s="18"/>
      <c r="N632" s="21" t="str">
        <f>IFERROR(__xludf.DUMMYFUNCTION("TRANSPOSE(split(D632,"";"",true,true))"),"e-Science")</f>
        <v>e-Science</v>
      </c>
      <c r="O632" s="6" t="str">
        <f>IFERROR(__xludf.DUMMYFUNCTION("split(C632,"" "")"),"O")</f>
        <v>O</v>
      </c>
      <c r="P632" s="18" t="str">
        <f>IFERROR(__xludf.DUMMYFUNCTION("""COMPUTED_VALUE"""),"ensino")</f>
        <v>ensino</v>
      </c>
      <c r="Q632" s="18" t="str">
        <f>IFERROR(__xludf.DUMMYFUNCTION("""COMPUTED_VALUE"""),"da")</f>
        <v>da</v>
      </c>
      <c r="R632" s="18" t="str">
        <f>IFERROR(__xludf.DUMMYFUNCTION("""COMPUTED_VALUE"""),"E-Science")</f>
        <v>E-Science</v>
      </c>
      <c r="S632" s="18" t="str">
        <f>IFERROR(__xludf.DUMMYFUNCTION("""COMPUTED_VALUE"""),"no")</f>
        <v>no</v>
      </c>
      <c r="T632" s="18" t="str">
        <f>IFERROR(__xludf.DUMMYFUNCTION("""COMPUTED_VALUE"""),"âmbito")</f>
        <v>âmbito</v>
      </c>
      <c r="U632" s="18" t="str">
        <f>IFERROR(__xludf.DUMMYFUNCTION("""COMPUTED_VALUE"""),"dos")</f>
        <v>dos</v>
      </c>
      <c r="V632" s="18" t="str">
        <f>IFERROR(__xludf.DUMMYFUNCTION("""COMPUTED_VALUE"""),"Programas")</f>
        <v>Programas</v>
      </c>
      <c r="W632" s="18" t="str">
        <f>IFERROR(__xludf.DUMMYFUNCTION("""COMPUTED_VALUE"""),"Brasileiros")</f>
        <v>Brasileiros</v>
      </c>
      <c r="X632" s="18" t="str">
        <f>IFERROR(__xludf.DUMMYFUNCTION("""COMPUTED_VALUE"""),"de")</f>
        <v>de</v>
      </c>
      <c r="Y632" s="18" t="str">
        <f>IFERROR(__xludf.DUMMYFUNCTION("""COMPUTED_VALUE"""),"Pós-Graduação")</f>
        <v>Pós-Graduação</v>
      </c>
      <c r="Z632" s="18" t="str">
        <f>IFERROR(__xludf.DUMMYFUNCTION("""COMPUTED_VALUE"""),"em")</f>
        <v>em</v>
      </c>
      <c r="AA632" s="18" t="str">
        <f>IFERROR(__xludf.DUMMYFUNCTION("""COMPUTED_VALUE"""),"Ciência")</f>
        <v>Ciência</v>
      </c>
      <c r="AB632" s="18" t="str">
        <f>IFERROR(__xludf.DUMMYFUNCTION("""COMPUTED_VALUE"""),"da")</f>
        <v>da</v>
      </c>
      <c r="AC632" s="18" t="str">
        <f>IFERROR(__xludf.DUMMYFUNCTION("""COMPUTED_VALUE"""),"Informação")</f>
        <v>Informação</v>
      </c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</row>
    <row r="633">
      <c r="A633" s="22"/>
      <c r="B633" s="23"/>
      <c r="C633" s="24"/>
      <c r="D633" s="24"/>
      <c r="E633" s="18"/>
      <c r="F633" s="18"/>
      <c r="G633" s="25">
        <f t="shared" ref="G633:I633" si="528">G632</f>
        <v>2018</v>
      </c>
      <c r="H633" s="20" t="str">
        <f t="shared" si="528"/>
        <v>oedenâ2018</v>
      </c>
      <c r="I633" s="20" t="str">
        <f t="shared" si="528"/>
        <v>O ensino da E-Science no âmbito dos Programas Brasileiros de Pós-Graduação em Ciência da Informação</v>
      </c>
      <c r="J633" s="20" t="str">
        <f t="shared" si="2"/>
        <v>Ciência da Informação</v>
      </c>
      <c r="K633" s="20"/>
      <c r="L633" s="20" t="str">
        <f t="shared" si="3"/>
        <v>ciência da informação</v>
      </c>
      <c r="M633" s="18"/>
      <c r="N633" s="21" t="str">
        <f>IFERROR(__xludf.DUMMYFUNCTION("""COMPUTED_VALUE""")," Ciência da Informação")</f>
        <v> Ciência da Informação</v>
      </c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</row>
    <row r="634">
      <c r="A634" s="22"/>
      <c r="B634" s="23"/>
      <c r="C634" s="24"/>
      <c r="D634" s="24"/>
      <c r="E634" s="18"/>
      <c r="F634" s="18"/>
      <c r="G634" s="25">
        <f t="shared" ref="G634:I634" si="529">G633</f>
        <v>2018</v>
      </c>
      <c r="H634" s="20" t="str">
        <f t="shared" si="529"/>
        <v>oedenâ2018</v>
      </c>
      <c r="I634" s="20" t="str">
        <f t="shared" si="529"/>
        <v>O ensino da E-Science no âmbito dos Programas Brasileiros de Pós-Graduação em Ciência da Informação</v>
      </c>
      <c r="J634" s="20" t="str">
        <f t="shared" si="2"/>
        <v>Pós-Graduação em Ciência da Informação</v>
      </c>
      <c r="K634" s="20"/>
      <c r="L634" s="20" t="str">
        <f t="shared" si="3"/>
        <v>pós-graduação em ciência da informação</v>
      </c>
      <c r="M634" s="18"/>
      <c r="N634" s="21" t="str">
        <f>IFERROR(__xludf.DUMMYFUNCTION("""COMPUTED_VALUE""")," Pós-Graduação em Ciência da Informação")</f>
        <v> Pós-Graduação em Ciência da Informação</v>
      </c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</row>
    <row r="635">
      <c r="A635" s="22"/>
      <c r="B635" s="23"/>
      <c r="C635" s="24"/>
      <c r="D635" s="24"/>
      <c r="E635" s="18"/>
      <c r="F635" s="18"/>
      <c r="G635" s="25">
        <f t="shared" ref="G635:I635" si="530">G634</f>
        <v>2018</v>
      </c>
      <c r="H635" s="20" t="str">
        <f t="shared" si="530"/>
        <v>oedenâ2018</v>
      </c>
      <c r="I635" s="20" t="str">
        <f t="shared" si="530"/>
        <v>O ensino da E-Science no âmbito dos Programas Brasileiros de Pós-Graduação em Ciência da Informação</v>
      </c>
      <c r="J635" s="20" t="str">
        <f t="shared" si="2"/>
        <v/>
      </c>
      <c r="K635" s="20"/>
      <c r="L635" s="20" t="str">
        <f t="shared" si="3"/>
        <v/>
      </c>
      <c r="M635" s="18"/>
      <c r="N635" s="21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</row>
    <row r="636">
      <c r="A636" s="22"/>
      <c r="B636" s="23"/>
      <c r="C636" s="24"/>
      <c r="D636" s="24"/>
      <c r="E636" s="18"/>
      <c r="F636" s="18"/>
      <c r="G636" s="25">
        <f t="shared" ref="G636:I636" si="531">G635</f>
        <v>2018</v>
      </c>
      <c r="H636" s="20" t="str">
        <f t="shared" si="531"/>
        <v>oedenâ2018</v>
      </c>
      <c r="I636" s="20" t="str">
        <f t="shared" si="531"/>
        <v>O ensino da E-Science no âmbito dos Programas Brasileiros de Pós-Graduação em Ciência da Informação</v>
      </c>
      <c r="J636" s="20" t="str">
        <f t="shared" si="2"/>
        <v/>
      </c>
      <c r="K636" s="20"/>
      <c r="L636" s="20" t="str">
        <f t="shared" si="3"/>
        <v/>
      </c>
      <c r="M636" s="18"/>
      <c r="N636" s="21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</row>
    <row r="637">
      <c r="A637" s="8"/>
      <c r="B637" s="23"/>
      <c r="C637" s="24"/>
      <c r="D637" s="24"/>
      <c r="E637" s="18"/>
      <c r="F637" s="18"/>
      <c r="G637" s="25">
        <f t="shared" ref="G637:I637" si="532">G636</f>
        <v>2018</v>
      </c>
      <c r="H637" s="20" t="str">
        <f t="shared" si="532"/>
        <v>oedenâ2018</v>
      </c>
      <c r="I637" s="20" t="str">
        <f t="shared" si="532"/>
        <v>O ensino da E-Science no âmbito dos Programas Brasileiros de Pós-Graduação em Ciência da Informação</v>
      </c>
      <c r="J637" s="20" t="str">
        <f t="shared" si="2"/>
        <v/>
      </c>
      <c r="K637" s="20"/>
      <c r="L637" s="20" t="str">
        <f t="shared" si="3"/>
        <v/>
      </c>
      <c r="M637" s="18"/>
      <c r="N637" s="21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</row>
    <row r="638">
      <c r="A638" s="8" t="s">
        <v>54</v>
      </c>
      <c r="B638" s="9">
        <v>2018.0</v>
      </c>
      <c r="C638" s="10" t="s">
        <v>266</v>
      </c>
      <c r="D638" s="10" t="s">
        <v>267</v>
      </c>
      <c r="E638" s="18"/>
      <c r="F638" s="18"/>
      <c r="G638" s="12">
        <f>B638</f>
        <v>2018</v>
      </c>
      <c r="H638" s="13" t="str">
        <f>LOWER(left(O638,1)&amp;left(P638,1)&amp;left(Q638,1)&amp;left(R638,1)&amp;left(S638,1)&amp;left(T638,1))&amp;G638</f>
        <v>ndvgpd2018</v>
      </c>
      <c r="I638" s="20" t="str">
        <f>trim(C638)</f>
        <v>Narrativas de visuaizações guiadas por dados: Big Data e inovação</v>
      </c>
      <c r="J638" s="20" t="str">
        <f t="shared" si="2"/>
        <v>Visualização de dados</v>
      </c>
      <c r="K638" s="20"/>
      <c r="L638" s="20" t="str">
        <f t="shared" si="3"/>
        <v>visualização de dados</v>
      </c>
      <c r="M638" s="18"/>
      <c r="N638" s="21" t="str">
        <f>IFERROR(__xludf.DUMMYFUNCTION("TRANSPOSE(split(D638,"";"",true,true))"),"Visualização de dados")</f>
        <v>Visualização de dados</v>
      </c>
      <c r="O638" s="6" t="str">
        <f>IFERROR(__xludf.DUMMYFUNCTION("split(C638,"" "")"),"Narrativas")</f>
        <v>Narrativas</v>
      </c>
      <c r="P638" s="18" t="str">
        <f>IFERROR(__xludf.DUMMYFUNCTION("""COMPUTED_VALUE"""),"de")</f>
        <v>de</v>
      </c>
      <c r="Q638" s="18" t="str">
        <f>IFERROR(__xludf.DUMMYFUNCTION("""COMPUTED_VALUE"""),"visuaizações")</f>
        <v>visuaizações</v>
      </c>
      <c r="R638" s="18" t="str">
        <f>IFERROR(__xludf.DUMMYFUNCTION("""COMPUTED_VALUE"""),"guiadas")</f>
        <v>guiadas</v>
      </c>
      <c r="S638" s="18" t="str">
        <f>IFERROR(__xludf.DUMMYFUNCTION("""COMPUTED_VALUE"""),"por")</f>
        <v>por</v>
      </c>
      <c r="T638" s="18" t="str">
        <f>IFERROR(__xludf.DUMMYFUNCTION("""COMPUTED_VALUE"""),"dados:")</f>
        <v>dados:</v>
      </c>
      <c r="U638" s="18" t="str">
        <f>IFERROR(__xludf.DUMMYFUNCTION("""COMPUTED_VALUE"""),"Big")</f>
        <v>Big</v>
      </c>
      <c r="V638" s="18" t="str">
        <f>IFERROR(__xludf.DUMMYFUNCTION("""COMPUTED_VALUE"""),"Data")</f>
        <v>Data</v>
      </c>
      <c r="W638" s="18" t="str">
        <f>IFERROR(__xludf.DUMMYFUNCTION("""COMPUTED_VALUE"""),"e")</f>
        <v>e</v>
      </c>
      <c r="X638" s="18" t="str">
        <f>IFERROR(__xludf.DUMMYFUNCTION("""COMPUTED_VALUE"""),"inovação")</f>
        <v>inovação</v>
      </c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</row>
    <row r="639">
      <c r="A639" s="22"/>
      <c r="B639" s="23"/>
      <c r="C639" s="24"/>
      <c r="D639" s="24"/>
      <c r="E639" s="18"/>
      <c r="F639" s="18"/>
      <c r="G639" s="25">
        <f t="shared" ref="G639:I639" si="533">G638</f>
        <v>2018</v>
      </c>
      <c r="H639" s="20" t="str">
        <f t="shared" si="533"/>
        <v>ndvgpd2018</v>
      </c>
      <c r="I639" s="20" t="str">
        <f t="shared" si="533"/>
        <v>Narrativas de visuaizações guiadas por dados: Big Data e inovação</v>
      </c>
      <c r="J639" s="20" t="str">
        <f t="shared" si="2"/>
        <v>Narrativas</v>
      </c>
      <c r="K639" s="20"/>
      <c r="L639" s="20" t="str">
        <f t="shared" si="3"/>
        <v>narrativas</v>
      </c>
      <c r="M639" s="18"/>
      <c r="N639" s="21" t="str">
        <f>IFERROR(__xludf.DUMMYFUNCTION("""COMPUTED_VALUE""")," Narrativas")</f>
        <v> Narrativas</v>
      </c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</row>
    <row r="640">
      <c r="A640" s="22"/>
      <c r="B640" s="23"/>
      <c r="C640" s="24"/>
      <c r="D640" s="24"/>
      <c r="E640" s="18"/>
      <c r="F640" s="18"/>
      <c r="G640" s="25">
        <f t="shared" ref="G640:I640" si="534">G639</f>
        <v>2018</v>
      </c>
      <c r="H640" s="20" t="str">
        <f t="shared" si="534"/>
        <v>ndvgpd2018</v>
      </c>
      <c r="I640" s="20" t="str">
        <f t="shared" si="534"/>
        <v>Narrativas de visuaizações guiadas por dados: Big Data e inovação</v>
      </c>
      <c r="J640" s="20" t="str">
        <f t="shared" si="2"/>
        <v>Dados</v>
      </c>
      <c r="K640" s="20"/>
      <c r="L640" s="20" t="str">
        <f t="shared" si="3"/>
        <v>dados</v>
      </c>
      <c r="M640" s="18"/>
      <c r="N640" s="21" t="str">
        <f>IFERROR(__xludf.DUMMYFUNCTION("""COMPUTED_VALUE""")," Dados")</f>
        <v> Dados</v>
      </c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</row>
    <row r="641">
      <c r="A641" s="22"/>
      <c r="B641" s="23"/>
      <c r="C641" s="24"/>
      <c r="D641" s="24"/>
      <c r="E641" s="18"/>
      <c r="F641" s="18"/>
      <c r="G641" s="25">
        <f t="shared" ref="G641:I641" si="535">G640</f>
        <v>2018</v>
      </c>
      <c r="H641" s="20" t="str">
        <f t="shared" si="535"/>
        <v>ndvgpd2018</v>
      </c>
      <c r="I641" s="20" t="str">
        <f t="shared" si="535"/>
        <v>Narrativas de visuaizações guiadas por dados: Big Data e inovação</v>
      </c>
      <c r="J641" s="20" t="str">
        <f t="shared" si="2"/>
        <v>Big Data</v>
      </c>
      <c r="K641" s="20"/>
      <c r="L641" s="20" t="str">
        <f t="shared" si="3"/>
        <v>big data</v>
      </c>
      <c r="M641" s="18"/>
      <c r="N641" s="21" t="str">
        <f>IFERROR(__xludf.DUMMYFUNCTION("""COMPUTED_VALUE""")," Big Data")</f>
        <v> Big Data</v>
      </c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</row>
    <row r="642">
      <c r="A642" s="22"/>
      <c r="B642" s="23"/>
      <c r="C642" s="24"/>
      <c r="D642" s="24"/>
      <c r="E642" s="18"/>
      <c r="F642" s="18"/>
      <c r="G642" s="25">
        <f t="shared" ref="G642:I642" si="536">G641</f>
        <v>2018</v>
      </c>
      <c r="H642" s="20" t="str">
        <f t="shared" si="536"/>
        <v>ndvgpd2018</v>
      </c>
      <c r="I642" s="20" t="str">
        <f t="shared" si="536"/>
        <v>Narrativas de visuaizações guiadas por dados: Big Data e inovação</v>
      </c>
      <c r="J642" s="20" t="str">
        <f t="shared" si="2"/>
        <v/>
      </c>
      <c r="K642" s="20"/>
      <c r="L642" s="20" t="str">
        <f t="shared" si="3"/>
        <v/>
      </c>
      <c r="M642" s="18"/>
      <c r="N642" s="21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</row>
    <row r="643">
      <c r="A643" s="8"/>
      <c r="B643" s="23"/>
      <c r="C643" s="24"/>
      <c r="D643" s="24"/>
      <c r="E643" s="18"/>
      <c r="F643" s="18"/>
      <c r="G643" s="25">
        <f t="shared" ref="G643:I643" si="537">G642</f>
        <v>2018</v>
      </c>
      <c r="H643" s="20" t="str">
        <f t="shared" si="537"/>
        <v>ndvgpd2018</v>
      </c>
      <c r="I643" s="20" t="str">
        <f t="shared" si="537"/>
        <v>Narrativas de visuaizações guiadas por dados: Big Data e inovação</v>
      </c>
      <c r="J643" s="20" t="str">
        <f t="shared" si="2"/>
        <v/>
      </c>
      <c r="K643" s="20"/>
      <c r="L643" s="20" t="str">
        <f t="shared" si="3"/>
        <v/>
      </c>
      <c r="M643" s="18"/>
      <c r="N643" s="21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</row>
    <row r="644">
      <c r="A644" s="8" t="s">
        <v>54</v>
      </c>
      <c r="B644" s="9">
        <v>2018.0</v>
      </c>
      <c r="C644" s="10" t="s">
        <v>268</v>
      </c>
      <c r="D644" s="10" t="s">
        <v>269</v>
      </c>
      <c r="E644" s="18"/>
      <c r="F644" s="18"/>
      <c r="G644" s="12">
        <f>B644</f>
        <v>2018</v>
      </c>
      <c r="H644" s="13" t="str">
        <f>LOWER(left(O644,1)&amp;left(P644,1)&amp;left(Q644,1)&amp;left(R644,1)&amp;left(S644,1)&amp;left(T644,1))&amp;G644</f>
        <v>leauei2018</v>
      </c>
      <c r="I644" s="20" t="str">
        <f>trim(C644)</f>
        <v>Letreiros e amores: uma estratégia informacional para existir no Instagram</v>
      </c>
      <c r="J644" s="20" t="str">
        <f t="shared" si="2"/>
        <v>letreiros de cidade</v>
      </c>
      <c r="K644" s="20"/>
      <c r="L644" s="20" t="str">
        <f t="shared" si="3"/>
        <v>letreiros de cidade</v>
      </c>
      <c r="M644" s="18"/>
      <c r="N644" s="21" t="str">
        <f>IFERROR(__xludf.DUMMYFUNCTION("TRANSPOSE(split(D644,"";"",true,true))"),"letreiros de cidade")</f>
        <v>letreiros de cidade</v>
      </c>
      <c r="O644" s="6" t="str">
        <f>IFERROR(__xludf.DUMMYFUNCTION("split(C644,"" "")"),"Letreiros")</f>
        <v>Letreiros</v>
      </c>
      <c r="P644" s="18" t="str">
        <f>IFERROR(__xludf.DUMMYFUNCTION("""COMPUTED_VALUE"""),"e")</f>
        <v>e</v>
      </c>
      <c r="Q644" s="18" t="str">
        <f>IFERROR(__xludf.DUMMYFUNCTION("""COMPUTED_VALUE"""),"amores:")</f>
        <v>amores:</v>
      </c>
      <c r="R644" s="18" t="str">
        <f>IFERROR(__xludf.DUMMYFUNCTION("""COMPUTED_VALUE"""),"uma")</f>
        <v>uma</v>
      </c>
      <c r="S644" s="18" t="str">
        <f>IFERROR(__xludf.DUMMYFUNCTION("""COMPUTED_VALUE"""),"estratégia")</f>
        <v>estratégia</v>
      </c>
      <c r="T644" s="18" t="str">
        <f>IFERROR(__xludf.DUMMYFUNCTION("""COMPUTED_VALUE"""),"informacional")</f>
        <v>informacional</v>
      </c>
      <c r="U644" s="18" t="str">
        <f>IFERROR(__xludf.DUMMYFUNCTION("""COMPUTED_VALUE"""),"para")</f>
        <v>para</v>
      </c>
      <c r="V644" s="18" t="str">
        <f>IFERROR(__xludf.DUMMYFUNCTION("""COMPUTED_VALUE"""),"existir")</f>
        <v>existir</v>
      </c>
      <c r="W644" s="18" t="str">
        <f>IFERROR(__xludf.DUMMYFUNCTION("""COMPUTED_VALUE"""),"no")</f>
        <v>no</v>
      </c>
      <c r="X644" s="18" t="str">
        <f>IFERROR(__xludf.DUMMYFUNCTION("""COMPUTED_VALUE"""),"Instagram")</f>
        <v>Instagram</v>
      </c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</row>
    <row r="645">
      <c r="A645" s="22"/>
      <c r="B645" s="23"/>
      <c r="C645" s="24"/>
      <c r="D645" s="24"/>
      <c r="E645" s="18"/>
      <c r="F645" s="18"/>
      <c r="G645" s="25">
        <f t="shared" ref="G645:I645" si="538">G644</f>
        <v>2018</v>
      </c>
      <c r="H645" s="20" t="str">
        <f t="shared" si="538"/>
        <v>leauei2018</v>
      </c>
      <c r="I645" s="20" t="str">
        <f t="shared" si="538"/>
        <v>Letreiros e amores: uma estratégia informacional para existir no Instagram</v>
      </c>
      <c r="J645" s="20" t="str">
        <f t="shared" si="2"/>
        <v>informação</v>
      </c>
      <c r="K645" s="20"/>
      <c r="L645" s="20" t="str">
        <f t="shared" si="3"/>
        <v>informação</v>
      </c>
      <c r="M645" s="18"/>
      <c r="N645" s="21" t="str">
        <f>IFERROR(__xludf.DUMMYFUNCTION("""COMPUTED_VALUE""")," informação")</f>
        <v> informação</v>
      </c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</row>
    <row r="646">
      <c r="A646" s="22"/>
      <c r="B646" s="23"/>
      <c r="C646" s="24"/>
      <c r="D646" s="24"/>
      <c r="E646" s="18"/>
      <c r="F646" s="18"/>
      <c r="G646" s="25">
        <f t="shared" ref="G646:I646" si="539">G645</f>
        <v>2018</v>
      </c>
      <c r="H646" s="20" t="str">
        <f t="shared" si="539"/>
        <v>leauei2018</v>
      </c>
      <c r="I646" s="20" t="str">
        <f t="shared" si="539"/>
        <v>Letreiros e amores: uma estratégia informacional para existir no Instagram</v>
      </c>
      <c r="J646" s="20" t="str">
        <f t="shared" si="2"/>
        <v>Instagram</v>
      </c>
      <c r="K646" s="20"/>
      <c r="L646" s="20" t="str">
        <f t="shared" si="3"/>
        <v>instagram</v>
      </c>
      <c r="M646" s="18"/>
      <c r="N646" s="21" t="str">
        <f>IFERROR(__xludf.DUMMYFUNCTION("""COMPUTED_VALUE""")," Instagram")</f>
        <v> Instagram</v>
      </c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</row>
    <row r="647">
      <c r="A647" s="22"/>
      <c r="B647" s="23"/>
      <c r="C647" s="24"/>
      <c r="D647" s="24"/>
      <c r="E647" s="18"/>
      <c r="F647" s="18"/>
      <c r="G647" s="25">
        <f t="shared" ref="G647:I647" si="540">G646</f>
        <v>2018</v>
      </c>
      <c r="H647" s="20" t="str">
        <f t="shared" si="540"/>
        <v>leauei2018</v>
      </c>
      <c r="I647" s="20" t="str">
        <f t="shared" si="540"/>
        <v>Letreiros e amores: uma estratégia informacional para existir no Instagram</v>
      </c>
      <c r="J647" s="20" t="str">
        <f t="shared" si="2"/>
        <v>fotografia</v>
      </c>
      <c r="K647" s="20"/>
      <c r="L647" s="20" t="str">
        <f t="shared" si="3"/>
        <v>fotografia</v>
      </c>
      <c r="M647" s="18"/>
      <c r="N647" s="21" t="str">
        <f>IFERROR(__xludf.DUMMYFUNCTION("""COMPUTED_VALUE""")," fotografia")</f>
        <v> fotografia</v>
      </c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</row>
    <row r="648">
      <c r="A648" s="22"/>
      <c r="B648" s="23"/>
      <c r="C648" s="24"/>
      <c r="D648" s="24"/>
      <c r="E648" s="18"/>
      <c r="F648" s="18"/>
      <c r="G648" s="25">
        <f t="shared" ref="G648:I648" si="541">G647</f>
        <v>2018</v>
      </c>
      <c r="H648" s="20" t="str">
        <f t="shared" si="541"/>
        <v>leauei2018</v>
      </c>
      <c r="I648" s="20" t="str">
        <f t="shared" si="541"/>
        <v>Letreiros e amores: uma estratégia informacional para existir no Instagram</v>
      </c>
      <c r="J648" s="20" t="str">
        <f t="shared" si="2"/>
        <v/>
      </c>
      <c r="K648" s="20"/>
      <c r="L648" s="20" t="str">
        <f t="shared" si="3"/>
        <v/>
      </c>
      <c r="M648" s="18"/>
      <c r="N648" s="21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</row>
    <row r="649">
      <c r="A649" s="8"/>
      <c r="B649" s="23"/>
      <c r="C649" s="24"/>
      <c r="D649" s="24"/>
      <c r="E649" s="18"/>
      <c r="F649" s="18"/>
      <c r="G649" s="25">
        <f t="shared" ref="G649:I649" si="542">G648</f>
        <v>2018</v>
      </c>
      <c r="H649" s="20" t="str">
        <f t="shared" si="542"/>
        <v>leauei2018</v>
      </c>
      <c r="I649" s="20" t="str">
        <f t="shared" si="542"/>
        <v>Letreiros e amores: uma estratégia informacional para existir no Instagram</v>
      </c>
      <c r="J649" s="20" t="str">
        <f t="shared" si="2"/>
        <v/>
      </c>
      <c r="K649" s="20"/>
      <c r="L649" s="20" t="str">
        <f t="shared" si="3"/>
        <v/>
      </c>
      <c r="M649" s="18"/>
      <c r="N649" s="21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</row>
    <row r="650">
      <c r="A650" s="8" t="s">
        <v>54</v>
      </c>
      <c r="B650" s="9">
        <v>2018.0</v>
      </c>
      <c r="C650" s="10" t="s">
        <v>270</v>
      </c>
      <c r="D650" s="10" t="s">
        <v>271</v>
      </c>
      <c r="E650" s="18"/>
      <c r="F650" s="18"/>
      <c r="G650" s="12">
        <f>B650</f>
        <v>2018</v>
      </c>
      <c r="H650" s="13" t="str">
        <f>LOWER(left(O650,1)&amp;left(P650,1)&amp;left(Q650,1)&amp;left(R650,1)&amp;left(S650,1)&amp;left(T650,1))&amp;G650</f>
        <v>idedpa2018</v>
      </c>
      <c r="I650" s="20" t="str">
        <f>trim(C650)</f>
        <v>Identificação de Entidades Destaque para a Melhoria da Análise de Vínculos</v>
      </c>
      <c r="J650" s="20" t="str">
        <f t="shared" si="2"/>
        <v>Lavagem de Dinheiro</v>
      </c>
      <c r="K650" s="20"/>
      <c r="L650" s="20" t="str">
        <f t="shared" si="3"/>
        <v>lavagem de dinheiro</v>
      </c>
      <c r="M650" s="18"/>
      <c r="N650" s="21" t="str">
        <f>IFERROR(__xludf.DUMMYFUNCTION("TRANSPOSE(split(D650,"";"",true,true))"),"Lavagem de Dinheiro")</f>
        <v>Lavagem de Dinheiro</v>
      </c>
      <c r="O650" s="6" t="str">
        <f>IFERROR(__xludf.DUMMYFUNCTION("split(C650,"" "")"),"Identificação")</f>
        <v>Identificação</v>
      </c>
      <c r="P650" s="18" t="str">
        <f>IFERROR(__xludf.DUMMYFUNCTION("""COMPUTED_VALUE"""),"de")</f>
        <v>de</v>
      </c>
      <c r="Q650" s="18" t="str">
        <f>IFERROR(__xludf.DUMMYFUNCTION("""COMPUTED_VALUE"""),"Entidades")</f>
        <v>Entidades</v>
      </c>
      <c r="R650" s="18" t="str">
        <f>IFERROR(__xludf.DUMMYFUNCTION("""COMPUTED_VALUE"""),"Destaque")</f>
        <v>Destaque</v>
      </c>
      <c r="S650" s="18" t="str">
        <f>IFERROR(__xludf.DUMMYFUNCTION("""COMPUTED_VALUE"""),"para")</f>
        <v>para</v>
      </c>
      <c r="T650" s="18" t="str">
        <f>IFERROR(__xludf.DUMMYFUNCTION("""COMPUTED_VALUE"""),"a")</f>
        <v>a</v>
      </c>
      <c r="U650" s="18" t="str">
        <f>IFERROR(__xludf.DUMMYFUNCTION("""COMPUTED_VALUE"""),"Melhoria")</f>
        <v>Melhoria</v>
      </c>
      <c r="V650" s="18" t="str">
        <f>IFERROR(__xludf.DUMMYFUNCTION("""COMPUTED_VALUE"""),"da")</f>
        <v>da</v>
      </c>
      <c r="W650" s="18" t="str">
        <f>IFERROR(__xludf.DUMMYFUNCTION("""COMPUTED_VALUE"""),"Análise")</f>
        <v>Análise</v>
      </c>
      <c r="X650" s="18" t="str">
        <f>IFERROR(__xludf.DUMMYFUNCTION("""COMPUTED_VALUE"""),"de")</f>
        <v>de</v>
      </c>
      <c r="Y650" s="18" t="str">
        <f>IFERROR(__xludf.DUMMYFUNCTION("""COMPUTED_VALUE"""),"Vínculos")</f>
        <v>Vínculos</v>
      </c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</row>
    <row r="651">
      <c r="A651" s="22"/>
      <c r="B651" s="23"/>
      <c r="C651" s="24"/>
      <c r="D651" s="24"/>
      <c r="E651" s="18"/>
      <c r="F651" s="18"/>
      <c r="G651" s="25">
        <f t="shared" ref="G651:I651" si="543">G650</f>
        <v>2018</v>
      </c>
      <c r="H651" s="20" t="str">
        <f t="shared" si="543"/>
        <v>idedpa2018</v>
      </c>
      <c r="I651" s="20" t="str">
        <f t="shared" si="543"/>
        <v>Identificação de Entidades Destaque para a Melhoria da Análise de Vínculos</v>
      </c>
      <c r="J651" s="20" t="str">
        <f t="shared" si="2"/>
        <v>Interpostas Pessoas</v>
      </c>
      <c r="K651" s="20"/>
      <c r="L651" s="20" t="str">
        <f t="shared" si="3"/>
        <v>interpostas pessoas</v>
      </c>
      <c r="M651" s="18"/>
      <c r="N651" s="21" t="str">
        <f>IFERROR(__xludf.DUMMYFUNCTION("""COMPUTED_VALUE""")," Interpostas Pessoas")</f>
        <v> Interpostas Pessoas</v>
      </c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</row>
    <row r="652">
      <c r="A652" s="22"/>
      <c r="B652" s="23"/>
      <c r="C652" s="24"/>
      <c r="D652" s="24"/>
      <c r="E652" s="18"/>
      <c r="F652" s="18"/>
      <c r="G652" s="25">
        <f t="shared" ref="G652:I652" si="544">G651</f>
        <v>2018</v>
      </c>
      <c r="H652" s="20" t="str">
        <f t="shared" si="544"/>
        <v>idedpa2018</v>
      </c>
      <c r="I652" s="20" t="str">
        <f t="shared" si="544"/>
        <v>Identificação de Entidades Destaque para a Melhoria da Análise de Vínculos</v>
      </c>
      <c r="J652" s="20" t="str">
        <f t="shared" si="2"/>
        <v>Grafos</v>
      </c>
      <c r="K652" s="20"/>
      <c r="L652" s="20" t="str">
        <f t="shared" si="3"/>
        <v>grafos</v>
      </c>
      <c r="M652" s="18"/>
      <c r="N652" s="21" t="str">
        <f>IFERROR(__xludf.DUMMYFUNCTION("""COMPUTED_VALUE""")," Grafos")</f>
        <v> Grafos</v>
      </c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</row>
    <row r="653">
      <c r="A653" s="22"/>
      <c r="B653" s="23"/>
      <c r="C653" s="24"/>
      <c r="D653" s="24"/>
      <c r="E653" s="18"/>
      <c r="F653" s="18"/>
      <c r="G653" s="25">
        <f t="shared" ref="G653:I653" si="545">G652</f>
        <v>2018</v>
      </c>
      <c r="H653" s="20" t="str">
        <f t="shared" si="545"/>
        <v>idedpa2018</v>
      </c>
      <c r="I653" s="20" t="str">
        <f t="shared" si="545"/>
        <v>Identificação de Entidades Destaque para a Melhoria da Análise de Vínculos</v>
      </c>
      <c r="J653" s="20" t="str">
        <f t="shared" si="2"/>
        <v/>
      </c>
      <c r="K653" s="20"/>
      <c r="L653" s="20" t="str">
        <f t="shared" si="3"/>
        <v/>
      </c>
      <c r="M653" s="18"/>
      <c r="N653" s="21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</row>
    <row r="654">
      <c r="A654" s="22"/>
      <c r="B654" s="23"/>
      <c r="C654" s="24"/>
      <c r="D654" s="24"/>
      <c r="E654" s="18"/>
      <c r="F654" s="18"/>
      <c r="G654" s="25">
        <f t="shared" ref="G654:I654" si="546">G653</f>
        <v>2018</v>
      </c>
      <c r="H654" s="20" t="str">
        <f t="shared" si="546"/>
        <v>idedpa2018</v>
      </c>
      <c r="I654" s="20" t="str">
        <f t="shared" si="546"/>
        <v>Identificação de Entidades Destaque para a Melhoria da Análise de Vínculos</v>
      </c>
      <c r="J654" s="20" t="str">
        <f t="shared" si="2"/>
        <v/>
      </c>
      <c r="K654" s="20"/>
      <c r="L654" s="20" t="str">
        <f t="shared" si="3"/>
        <v/>
      </c>
      <c r="M654" s="18"/>
      <c r="N654" s="21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</row>
    <row r="655">
      <c r="A655" s="8"/>
      <c r="B655" s="23"/>
      <c r="C655" s="24"/>
      <c r="D655" s="24"/>
      <c r="E655" s="18"/>
      <c r="F655" s="18"/>
      <c r="G655" s="25">
        <f t="shared" ref="G655:I655" si="547">G654</f>
        <v>2018</v>
      </c>
      <c r="H655" s="20" t="str">
        <f t="shared" si="547"/>
        <v>idedpa2018</v>
      </c>
      <c r="I655" s="20" t="str">
        <f t="shared" si="547"/>
        <v>Identificação de Entidades Destaque para a Melhoria da Análise de Vínculos</v>
      </c>
      <c r="J655" s="20" t="str">
        <f t="shared" si="2"/>
        <v/>
      </c>
      <c r="K655" s="20"/>
      <c r="L655" s="20" t="str">
        <f t="shared" si="3"/>
        <v/>
      </c>
      <c r="M655" s="18"/>
      <c r="N655" s="21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</row>
    <row r="656">
      <c r="A656" s="8" t="s">
        <v>54</v>
      </c>
      <c r="B656" s="9">
        <v>2018.0</v>
      </c>
      <c r="C656" s="10" t="s">
        <v>272</v>
      </c>
      <c r="D656" s="10" t="s">
        <v>273</v>
      </c>
      <c r="E656" s="18"/>
      <c r="F656" s="18"/>
      <c r="G656" s="12">
        <f>B656</f>
        <v>2018</v>
      </c>
      <c r="H656" s="13" t="str">
        <f>LOWER(left(O656,1)&amp;left(P656,1)&amp;left(Q656,1)&amp;left(R656,1)&amp;left(S656,1)&amp;left(T656,1))&amp;G656</f>
        <v>hdvdpc2018</v>
      </c>
      <c r="I656" s="20" t="str">
        <f>trim(C656)</f>
        <v>Humanidades Digitales: visualização da produção científica</v>
      </c>
      <c r="J656" s="20" t="str">
        <f t="shared" si="2"/>
        <v>humanidades digitais</v>
      </c>
      <c r="K656" s="20"/>
      <c r="L656" s="20" t="str">
        <f t="shared" si="3"/>
        <v>humanidades digitais</v>
      </c>
      <c r="M656" s="18"/>
      <c r="N656" s="21" t="str">
        <f>IFERROR(__xludf.DUMMYFUNCTION("TRANSPOSE(split(D656,"";"",true,true))"),"humanidades digitais")</f>
        <v>humanidades digitais</v>
      </c>
      <c r="O656" s="6" t="str">
        <f>IFERROR(__xludf.DUMMYFUNCTION("split(C656,"" "")"),"Humanidades")</f>
        <v>Humanidades</v>
      </c>
      <c r="P656" s="18" t="str">
        <f>IFERROR(__xludf.DUMMYFUNCTION("""COMPUTED_VALUE"""),"Digitales:")</f>
        <v>Digitales:</v>
      </c>
      <c r="Q656" s="18" t="str">
        <f>IFERROR(__xludf.DUMMYFUNCTION("""COMPUTED_VALUE"""),"visualização")</f>
        <v>visualização</v>
      </c>
      <c r="R656" s="18" t="str">
        <f>IFERROR(__xludf.DUMMYFUNCTION("""COMPUTED_VALUE"""),"da")</f>
        <v>da</v>
      </c>
      <c r="S656" s="18" t="str">
        <f>IFERROR(__xludf.DUMMYFUNCTION("""COMPUTED_VALUE"""),"produção")</f>
        <v>produção</v>
      </c>
      <c r="T656" s="18" t="str">
        <f>IFERROR(__xludf.DUMMYFUNCTION("""COMPUTED_VALUE"""),"científica")</f>
        <v>científica</v>
      </c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</row>
    <row r="657">
      <c r="A657" s="22"/>
      <c r="B657" s="23"/>
      <c r="C657" s="24"/>
      <c r="D657" s="24"/>
      <c r="E657" s="18"/>
      <c r="F657" s="18"/>
      <c r="G657" s="25">
        <f t="shared" ref="G657:I657" si="548">G656</f>
        <v>2018</v>
      </c>
      <c r="H657" s="20" t="str">
        <f t="shared" si="548"/>
        <v>hdvdpc2018</v>
      </c>
      <c r="I657" s="20" t="str">
        <f t="shared" si="548"/>
        <v>Humanidades Digitales: visualização da produção científica</v>
      </c>
      <c r="J657" s="20" t="str">
        <f t="shared" si="2"/>
        <v>visualização de dados</v>
      </c>
      <c r="K657" s="20"/>
      <c r="L657" s="20" t="str">
        <f t="shared" si="3"/>
        <v>visualização de dados</v>
      </c>
      <c r="M657" s="18"/>
      <c r="N657" s="21" t="str">
        <f>IFERROR(__xludf.DUMMYFUNCTION("""COMPUTED_VALUE""")," visualização de dados")</f>
        <v> visualização de dados</v>
      </c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</row>
    <row r="658">
      <c r="A658" s="22"/>
      <c r="B658" s="23"/>
      <c r="C658" s="24"/>
      <c r="D658" s="24"/>
      <c r="E658" s="18"/>
      <c r="F658" s="18"/>
      <c r="G658" s="25">
        <f t="shared" ref="G658:I658" si="549">G657</f>
        <v>2018</v>
      </c>
      <c r="H658" s="20" t="str">
        <f t="shared" si="549"/>
        <v>hdvdpc2018</v>
      </c>
      <c r="I658" s="20" t="str">
        <f t="shared" si="549"/>
        <v>Humanidades Digitales: visualização da produção científica</v>
      </c>
      <c r="J658" s="20" t="str">
        <f t="shared" si="2"/>
        <v>análise métrica da produção científica</v>
      </c>
      <c r="K658" s="20"/>
      <c r="L658" s="20" t="str">
        <f t="shared" si="3"/>
        <v>análise métrica da produção científica</v>
      </c>
      <c r="M658" s="18"/>
      <c r="N658" s="21" t="str">
        <f>IFERROR(__xludf.DUMMYFUNCTION("""COMPUTED_VALUE""")," análise métrica da produção científica")</f>
        <v> análise métrica da produção científica</v>
      </c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</row>
    <row r="659">
      <c r="A659" s="22"/>
      <c r="B659" s="23"/>
      <c r="C659" s="24"/>
      <c r="D659" s="24"/>
      <c r="E659" s="18"/>
      <c r="F659" s="18"/>
      <c r="G659" s="25">
        <f t="shared" ref="G659:I659" si="550">G658</f>
        <v>2018</v>
      </c>
      <c r="H659" s="20" t="str">
        <f t="shared" si="550"/>
        <v>hdvdpc2018</v>
      </c>
      <c r="I659" s="20" t="str">
        <f t="shared" si="550"/>
        <v>Humanidades Digitales: visualização da produção científica</v>
      </c>
      <c r="J659" s="20" t="str">
        <f t="shared" si="2"/>
        <v/>
      </c>
      <c r="K659" s="20"/>
      <c r="L659" s="20" t="str">
        <f t="shared" si="3"/>
        <v/>
      </c>
      <c r="M659" s="18"/>
      <c r="N659" s="21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</row>
    <row r="660">
      <c r="A660" s="22"/>
      <c r="B660" s="23"/>
      <c r="C660" s="24"/>
      <c r="D660" s="24"/>
      <c r="E660" s="18"/>
      <c r="F660" s="18"/>
      <c r="G660" s="25">
        <f t="shared" ref="G660:I660" si="551">G659</f>
        <v>2018</v>
      </c>
      <c r="H660" s="20" t="str">
        <f t="shared" si="551"/>
        <v>hdvdpc2018</v>
      </c>
      <c r="I660" s="20" t="str">
        <f t="shared" si="551"/>
        <v>Humanidades Digitales: visualização da produção científica</v>
      </c>
      <c r="J660" s="20" t="str">
        <f t="shared" si="2"/>
        <v/>
      </c>
      <c r="K660" s="20"/>
      <c r="L660" s="20" t="str">
        <f t="shared" si="3"/>
        <v/>
      </c>
      <c r="M660" s="18"/>
      <c r="N660" s="21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</row>
    <row r="661">
      <c r="A661" s="8"/>
      <c r="B661" s="23"/>
      <c r="C661" s="24"/>
      <c r="D661" s="24"/>
      <c r="E661" s="18"/>
      <c r="F661" s="18"/>
      <c r="G661" s="25">
        <f t="shared" ref="G661:I661" si="552">G660</f>
        <v>2018</v>
      </c>
      <c r="H661" s="20" t="str">
        <f t="shared" si="552"/>
        <v>hdvdpc2018</v>
      </c>
      <c r="I661" s="20" t="str">
        <f t="shared" si="552"/>
        <v>Humanidades Digitales: visualização da produção científica</v>
      </c>
      <c r="J661" s="20" t="str">
        <f t="shared" si="2"/>
        <v/>
      </c>
      <c r="K661" s="20"/>
      <c r="L661" s="20" t="str">
        <f t="shared" si="3"/>
        <v/>
      </c>
      <c r="M661" s="18"/>
      <c r="N661" s="21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</row>
    <row r="662">
      <c r="A662" s="8" t="s">
        <v>54</v>
      </c>
      <c r="B662" s="9">
        <v>2018.0</v>
      </c>
      <c r="C662" s="10" t="s">
        <v>274</v>
      </c>
      <c r="D662" s="10" t="s">
        <v>275</v>
      </c>
      <c r="E662" s="18"/>
      <c r="F662" s="18"/>
      <c r="G662" s="12">
        <f>B662</f>
        <v>2018</v>
      </c>
      <c r="H662" s="13" t="str">
        <f>LOWER(left(O662,1)&amp;left(P662,1)&amp;left(Q662,1)&amp;left(R662,1)&amp;left(S662,1)&amp;left(T662,1))&amp;G662</f>
        <v>gdddba2018</v>
      </c>
      <c r="I662" s="20" t="str">
        <f>trim(C662)</f>
        <v>Gestão de dados da Biodiversidade: aplicação do padrão de metadados Darwin Core</v>
      </c>
      <c r="J662" s="20" t="str">
        <f t="shared" si="2"/>
        <v>Gestão de dados de pesquisa</v>
      </c>
      <c r="K662" s="20"/>
      <c r="L662" s="20" t="str">
        <f t="shared" si="3"/>
        <v>gestão de dados de pesquisa</v>
      </c>
      <c r="M662" s="18"/>
      <c r="N662" s="21" t="str">
        <f>IFERROR(__xludf.DUMMYFUNCTION("TRANSPOSE(split(D662,"";"",true,true))"),"Gestão de dados de pesquisa")</f>
        <v>Gestão de dados de pesquisa</v>
      </c>
      <c r="O662" s="6" t="str">
        <f>IFERROR(__xludf.DUMMYFUNCTION("split(C662,"" "")"),"Gestão")</f>
        <v>Gestão</v>
      </c>
      <c r="P662" s="18" t="str">
        <f>IFERROR(__xludf.DUMMYFUNCTION("""COMPUTED_VALUE"""),"de")</f>
        <v>de</v>
      </c>
      <c r="Q662" s="18" t="str">
        <f>IFERROR(__xludf.DUMMYFUNCTION("""COMPUTED_VALUE"""),"dados")</f>
        <v>dados</v>
      </c>
      <c r="R662" s="18" t="str">
        <f>IFERROR(__xludf.DUMMYFUNCTION("""COMPUTED_VALUE"""),"da")</f>
        <v>da</v>
      </c>
      <c r="S662" s="18" t="str">
        <f>IFERROR(__xludf.DUMMYFUNCTION("""COMPUTED_VALUE"""),"Biodiversidade:")</f>
        <v>Biodiversidade:</v>
      </c>
      <c r="T662" s="18" t="str">
        <f>IFERROR(__xludf.DUMMYFUNCTION("""COMPUTED_VALUE"""),"aplicação")</f>
        <v>aplicação</v>
      </c>
      <c r="U662" s="18" t="str">
        <f>IFERROR(__xludf.DUMMYFUNCTION("""COMPUTED_VALUE"""),"do")</f>
        <v>do</v>
      </c>
      <c r="V662" s="18" t="str">
        <f>IFERROR(__xludf.DUMMYFUNCTION("""COMPUTED_VALUE"""),"padrão")</f>
        <v>padrão</v>
      </c>
      <c r="W662" s="18" t="str">
        <f>IFERROR(__xludf.DUMMYFUNCTION("""COMPUTED_VALUE"""),"de")</f>
        <v>de</v>
      </c>
      <c r="X662" s="18" t="str">
        <f>IFERROR(__xludf.DUMMYFUNCTION("""COMPUTED_VALUE"""),"metadados")</f>
        <v>metadados</v>
      </c>
      <c r="Y662" s="18" t="str">
        <f>IFERROR(__xludf.DUMMYFUNCTION("""COMPUTED_VALUE"""),"Darwin")</f>
        <v>Darwin</v>
      </c>
      <c r="Z662" s="18" t="str">
        <f>IFERROR(__xludf.DUMMYFUNCTION("""COMPUTED_VALUE"""),"Core")</f>
        <v>Core</v>
      </c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</row>
    <row r="663">
      <c r="A663" s="22"/>
      <c r="B663" s="23"/>
      <c r="C663" s="24"/>
      <c r="D663" s="24"/>
      <c r="E663" s="18"/>
      <c r="F663" s="18"/>
      <c r="G663" s="25">
        <f t="shared" ref="G663:I663" si="553">G662</f>
        <v>2018</v>
      </c>
      <c r="H663" s="20" t="str">
        <f t="shared" si="553"/>
        <v>gdddba2018</v>
      </c>
      <c r="I663" s="20" t="str">
        <f t="shared" si="553"/>
        <v>Gestão de dados da Biodiversidade: aplicação do padrão de metadados Darwin Core</v>
      </c>
      <c r="J663" s="20" t="str">
        <f t="shared" si="2"/>
        <v>Metadados</v>
      </c>
      <c r="K663" s="20"/>
      <c r="L663" s="20" t="str">
        <f t="shared" si="3"/>
        <v>metadados</v>
      </c>
      <c r="M663" s="18"/>
      <c r="N663" s="21" t="str">
        <f>IFERROR(__xludf.DUMMYFUNCTION("""COMPUTED_VALUE""")," Metadados")</f>
        <v> Metadados</v>
      </c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</row>
    <row r="664">
      <c r="A664" s="22"/>
      <c r="B664" s="23"/>
      <c r="C664" s="24"/>
      <c r="D664" s="24"/>
      <c r="E664" s="18"/>
      <c r="F664" s="18"/>
      <c r="G664" s="25">
        <f t="shared" ref="G664:I664" si="554">G663</f>
        <v>2018</v>
      </c>
      <c r="H664" s="20" t="str">
        <f t="shared" si="554"/>
        <v>gdddba2018</v>
      </c>
      <c r="I664" s="20" t="str">
        <f t="shared" si="554"/>
        <v>Gestão de dados da Biodiversidade: aplicação do padrão de metadados Darwin Core</v>
      </c>
      <c r="J664" s="20" t="str">
        <f t="shared" si="2"/>
        <v>Darwin Core</v>
      </c>
      <c r="K664" s="20"/>
      <c r="L664" s="20" t="str">
        <f t="shared" si="3"/>
        <v>darwin core</v>
      </c>
      <c r="M664" s="18"/>
      <c r="N664" s="21" t="str">
        <f>IFERROR(__xludf.DUMMYFUNCTION("""COMPUTED_VALUE""")," Darwin Core")</f>
        <v> Darwin Core</v>
      </c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</row>
    <row r="665">
      <c r="A665" s="22"/>
      <c r="B665" s="23"/>
      <c r="C665" s="24"/>
      <c r="D665" s="24"/>
      <c r="E665" s="18"/>
      <c r="F665" s="18"/>
      <c r="G665" s="25">
        <f t="shared" ref="G665:I665" si="555">G664</f>
        <v>2018</v>
      </c>
      <c r="H665" s="20" t="str">
        <f t="shared" si="555"/>
        <v>gdddba2018</v>
      </c>
      <c r="I665" s="20" t="str">
        <f t="shared" si="555"/>
        <v>Gestão de dados da Biodiversidade: aplicação do padrão de metadados Darwin Core</v>
      </c>
      <c r="J665" s="20" t="str">
        <f t="shared" si="2"/>
        <v/>
      </c>
      <c r="K665" s="20"/>
      <c r="L665" s="20" t="str">
        <f t="shared" si="3"/>
        <v/>
      </c>
      <c r="M665" s="18"/>
      <c r="N665" s="21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</row>
    <row r="666">
      <c r="A666" s="22"/>
      <c r="B666" s="23"/>
      <c r="C666" s="24"/>
      <c r="D666" s="24"/>
      <c r="E666" s="18"/>
      <c r="F666" s="18"/>
      <c r="G666" s="25">
        <f t="shared" ref="G666:I666" si="556">G665</f>
        <v>2018</v>
      </c>
      <c r="H666" s="20" t="str">
        <f t="shared" si="556"/>
        <v>gdddba2018</v>
      </c>
      <c r="I666" s="20" t="str">
        <f t="shared" si="556"/>
        <v>Gestão de dados da Biodiversidade: aplicação do padrão de metadados Darwin Core</v>
      </c>
      <c r="J666" s="20" t="str">
        <f t="shared" si="2"/>
        <v/>
      </c>
      <c r="K666" s="20"/>
      <c r="L666" s="20" t="str">
        <f t="shared" si="3"/>
        <v/>
      </c>
      <c r="M666" s="18"/>
      <c r="N666" s="21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</row>
    <row r="667">
      <c r="A667" s="8"/>
      <c r="B667" s="23"/>
      <c r="C667" s="24"/>
      <c r="D667" s="24"/>
      <c r="E667" s="18"/>
      <c r="F667" s="18"/>
      <c r="G667" s="25">
        <f t="shared" ref="G667:I667" si="557">G666</f>
        <v>2018</v>
      </c>
      <c r="H667" s="20" t="str">
        <f t="shared" si="557"/>
        <v>gdddba2018</v>
      </c>
      <c r="I667" s="20" t="str">
        <f t="shared" si="557"/>
        <v>Gestão de dados da Biodiversidade: aplicação do padrão de metadados Darwin Core</v>
      </c>
      <c r="J667" s="20" t="str">
        <f t="shared" si="2"/>
        <v/>
      </c>
      <c r="K667" s="20"/>
      <c r="L667" s="20" t="str">
        <f t="shared" si="3"/>
        <v/>
      </c>
      <c r="M667" s="18"/>
      <c r="N667" s="21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</row>
    <row r="668">
      <c r="A668" s="8" t="s">
        <v>54</v>
      </c>
      <c r="B668" s="9">
        <v>2018.0</v>
      </c>
      <c r="C668" s="10" t="s">
        <v>276</v>
      </c>
      <c r="D668" s="10" t="s">
        <v>277</v>
      </c>
      <c r="E668" s="18"/>
      <c r="F668" s="18"/>
      <c r="G668" s="12">
        <f>B668</f>
        <v>2018</v>
      </c>
      <c r="H668" s="13" t="str">
        <f>LOWER(left(O668,1)&amp;left(P668,1)&amp;left(Q668,1)&amp;left(R668,1)&amp;left(S668,1)&amp;left(T668,1))&amp;G668</f>
        <v>eeecdd2018</v>
      </c>
      <c r="I668" s="20" t="str">
        <f>trim(C668)</f>
        <v>Evasão Estudantil e Ciência de Dados: primeiros passos de uma pesquisa aplicada no contexto da Educação a Distância da Universidade Estadual do Centro-Oeste</v>
      </c>
      <c r="J668" s="20" t="str">
        <f t="shared" si="2"/>
        <v>Ciência de Dados</v>
      </c>
      <c r="K668" s="20"/>
      <c r="L668" s="20" t="str">
        <f t="shared" si="3"/>
        <v>ciência de dados</v>
      </c>
      <c r="M668" s="18"/>
      <c r="N668" s="21" t="str">
        <f>IFERROR(__xludf.DUMMYFUNCTION("TRANSPOSE(split(D668,"";"",true,true))"),"Ciência de Dados")</f>
        <v>Ciência de Dados</v>
      </c>
      <c r="O668" s="6" t="str">
        <f>IFERROR(__xludf.DUMMYFUNCTION("split(C668,"" "")"),"Evasão")</f>
        <v>Evasão</v>
      </c>
      <c r="P668" s="18" t="str">
        <f>IFERROR(__xludf.DUMMYFUNCTION("""COMPUTED_VALUE"""),"Estudantil")</f>
        <v>Estudantil</v>
      </c>
      <c r="Q668" s="18" t="str">
        <f>IFERROR(__xludf.DUMMYFUNCTION("""COMPUTED_VALUE"""),"e")</f>
        <v>e</v>
      </c>
      <c r="R668" s="18" t="str">
        <f>IFERROR(__xludf.DUMMYFUNCTION("""COMPUTED_VALUE"""),"Ciência")</f>
        <v>Ciência</v>
      </c>
      <c r="S668" s="18" t="str">
        <f>IFERROR(__xludf.DUMMYFUNCTION("""COMPUTED_VALUE"""),"de")</f>
        <v>de</v>
      </c>
      <c r="T668" s="18" t="str">
        <f>IFERROR(__xludf.DUMMYFUNCTION("""COMPUTED_VALUE"""),"Dados:")</f>
        <v>Dados:</v>
      </c>
      <c r="U668" s="18" t="str">
        <f>IFERROR(__xludf.DUMMYFUNCTION("""COMPUTED_VALUE"""),"primeiros")</f>
        <v>primeiros</v>
      </c>
      <c r="V668" s="18" t="str">
        <f>IFERROR(__xludf.DUMMYFUNCTION("""COMPUTED_VALUE"""),"passos")</f>
        <v>passos</v>
      </c>
      <c r="W668" s="18" t="str">
        <f>IFERROR(__xludf.DUMMYFUNCTION("""COMPUTED_VALUE"""),"de")</f>
        <v>de</v>
      </c>
      <c r="X668" s="18" t="str">
        <f>IFERROR(__xludf.DUMMYFUNCTION("""COMPUTED_VALUE"""),"uma")</f>
        <v>uma</v>
      </c>
      <c r="Y668" s="18" t="str">
        <f>IFERROR(__xludf.DUMMYFUNCTION("""COMPUTED_VALUE"""),"pesquisa")</f>
        <v>pesquisa</v>
      </c>
      <c r="Z668" s="18" t="str">
        <f>IFERROR(__xludf.DUMMYFUNCTION("""COMPUTED_VALUE"""),"aplicada")</f>
        <v>aplicada</v>
      </c>
      <c r="AA668" s="18" t="str">
        <f>IFERROR(__xludf.DUMMYFUNCTION("""COMPUTED_VALUE"""),"no")</f>
        <v>no</v>
      </c>
      <c r="AB668" s="18" t="str">
        <f>IFERROR(__xludf.DUMMYFUNCTION("""COMPUTED_VALUE"""),"contexto")</f>
        <v>contexto</v>
      </c>
      <c r="AC668" s="18" t="str">
        <f>IFERROR(__xludf.DUMMYFUNCTION("""COMPUTED_VALUE"""),"da")</f>
        <v>da</v>
      </c>
      <c r="AD668" s="18" t="str">
        <f>IFERROR(__xludf.DUMMYFUNCTION("""COMPUTED_VALUE"""),"Educação")</f>
        <v>Educação</v>
      </c>
      <c r="AE668" s="18" t="str">
        <f>IFERROR(__xludf.DUMMYFUNCTION("""COMPUTED_VALUE"""),"a")</f>
        <v>a</v>
      </c>
      <c r="AF668" s="18" t="str">
        <f>IFERROR(__xludf.DUMMYFUNCTION("""COMPUTED_VALUE"""),"Distância")</f>
        <v>Distância</v>
      </c>
      <c r="AG668" s="18" t="str">
        <f>IFERROR(__xludf.DUMMYFUNCTION("""COMPUTED_VALUE"""),"da")</f>
        <v>da</v>
      </c>
      <c r="AH668" s="18" t="str">
        <f>IFERROR(__xludf.DUMMYFUNCTION("""COMPUTED_VALUE"""),"Universidade")</f>
        <v>Universidade</v>
      </c>
      <c r="AI668" s="18" t="str">
        <f>IFERROR(__xludf.DUMMYFUNCTION("""COMPUTED_VALUE"""),"Estadual")</f>
        <v>Estadual</v>
      </c>
      <c r="AJ668" s="18" t="str">
        <f>IFERROR(__xludf.DUMMYFUNCTION("""COMPUTED_VALUE"""),"do")</f>
        <v>do</v>
      </c>
      <c r="AK668" s="18" t="str">
        <f>IFERROR(__xludf.DUMMYFUNCTION("""COMPUTED_VALUE"""),"Centro-Oeste")</f>
        <v>Centro-Oeste</v>
      </c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</row>
    <row r="669">
      <c r="A669" s="22"/>
      <c r="B669" s="23"/>
      <c r="C669" s="24"/>
      <c r="D669" s="24"/>
      <c r="E669" s="18"/>
      <c r="F669" s="18"/>
      <c r="G669" s="25">
        <f t="shared" ref="G669:I669" si="558">G668</f>
        <v>2018</v>
      </c>
      <c r="H669" s="20" t="str">
        <f t="shared" si="558"/>
        <v>eeecdd2018</v>
      </c>
      <c r="I669" s="20" t="str">
        <f t="shared" si="558"/>
        <v>Evasão Estudantil e Ciência de Dados: primeiros passos de uma pesquisa aplicada no contexto da Educação a Distância da Universidade Estadual do Centro-Oeste</v>
      </c>
      <c r="J669" s="20" t="str">
        <f t="shared" si="2"/>
        <v>Educação à Distância</v>
      </c>
      <c r="K669" s="20"/>
      <c r="L669" s="20" t="str">
        <f t="shared" si="3"/>
        <v>educação à distância</v>
      </c>
      <c r="M669" s="18"/>
      <c r="N669" s="21" t="str">
        <f>IFERROR(__xludf.DUMMYFUNCTION("""COMPUTED_VALUE""")," Educação à Distância")</f>
        <v> Educação à Distância</v>
      </c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</row>
    <row r="670">
      <c r="A670" s="22"/>
      <c r="B670" s="23"/>
      <c r="C670" s="24"/>
      <c r="D670" s="24"/>
      <c r="E670" s="18"/>
      <c r="F670" s="18"/>
      <c r="G670" s="25">
        <f t="shared" ref="G670:I670" si="559">G669</f>
        <v>2018</v>
      </c>
      <c r="H670" s="20" t="str">
        <f t="shared" si="559"/>
        <v>eeecdd2018</v>
      </c>
      <c r="I670" s="20" t="str">
        <f t="shared" si="559"/>
        <v>Evasão Estudantil e Ciência de Dados: primeiros passos de uma pesquisa aplicada no contexto da Educação a Distância da Universidade Estadual do Centro-Oeste</v>
      </c>
      <c r="J670" s="20" t="str">
        <f t="shared" si="2"/>
        <v>Evasão Estudantil</v>
      </c>
      <c r="K670" s="20"/>
      <c r="L670" s="20" t="str">
        <f t="shared" si="3"/>
        <v>evasão estudantil</v>
      </c>
      <c r="M670" s="18"/>
      <c r="N670" s="21" t="str">
        <f>IFERROR(__xludf.DUMMYFUNCTION("""COMPUTED_VALUE""")," Evasão Estudantil")</f>
        <v> Evasão Estudantil</v>
      </c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</row>
    <row r="671">
      <c r="A671" s="22"/>
      <c r="B671" s="23"/>
      <c r="C671" s="24"/>
      <c r="D671" s="24"/>
      <c r="E671" s="18"/>
      <c r="F671" s="18"/>
      <c r="G671" s="25">
        <f t="shared" ref="G671:I671" si="560">G670</f>
        <v>2018</v>
      </c>
      <c r="H671" s="20" t="str">
        <f t="shared" si="560"/>
        <v>eeecdd2018</v>
      </c>
      <c r="I671" s="20" t="str">
        <f t="shared" si="560"/>
        <v>Evasão Estudantil e Ciência de Dados: primeiros passos de uma pesquisa aplicada no contexto da Educação a Distância da Universidade Estadual do Centro-Oeste</v>
      </c>
      <c r="J671" s="20" t="str">
        <f t="shared" si="2"/>
        <v>MOODLE</v>
      </c>
      <c r="K671" s="20"/>
      <c r="L671" s="20" t="str">
        <f t="shared" si="3"/>
        <v>moodle</v>
      </c>
      <c r="M671" s="18"/>
      <c r="N671" s="21" t="str">
        <f>IFERROR(__xludf.DUMMYFUNCTION("""COMPUTED_VALUE""")," MOODLE")</f>
        <v> MOODLE</v>
      </c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</row>
    <row r="672">
      <c r="A672" s="22"/>
      <c r="B672" s="23"/>
      <c r="C672" s="24"/>
      <c r="D672" s="24"/>
      <c r="E672" s="18"/>
      <c r="F672" s="18"/>
      <c r="G672" s="25">
        <f t="shared" ref="G672:I672" si="561">G671</f>
        <v>2018</v>
      </c>
      <c r="H672" s="20" t="str">
        <f t="shared" si="561"/>
        <v>eeecdd2018</v>
      </c>
      <c r="I672" s="20" t="str">
        <f t="shared" si="561"/>
        <v>Evasão Estudantil e Ciência de Dados: primeiros passos de uma pesquisa aplicada no contexto da Educação a Distância da Universidade Estadual do Centro-Oeste</v>
      </c>
      <c r="J672" s="20" t="str">
        <f t="shared" si="2"/>
        <v>Ambientes Virtu_x0002_ais de Aprendizagem</v>
      </c>
      <c r="K672" s="20"/>
      <c r="L672" s="20" t="str">
        <f t="shared" si="3"/>
        <v>ambientes virtu_x0002_ais de aprendizagem</v>
      </c>
      <c r="M672" s="18"/>
      <c r="N672" s="21" t="str">
        <f>IFERROR(__xludf.DUMMYFUNCTION("""COMPUTED_VALUE""")," Ambientes Virtuais de Aprendizagem")</f>
        <v> Ambientes Virtu_x0002_ais de Aprendizagem</v>
      </c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</row>
    <row r="673">
      <c r="A673" s="8"/>
      <c r="B673" s="23"/>
      <c r="C673" s="24"/>
      <c r="D673" s="24"/>
      <c r="E673" s="18"/>
      <c r="F673" s="18"/>
      <c r="G673" s="25">
        <f t="shared" ref="G673:I673" si="562">G672</f>
        <v>2018</v>
      </c>
      <c r="H673" s="20" t="str">
        <f t="shared" si="562"/>
        <v>eeecdd2018</v>
      </c>
      <c r="I673" s="20" t="str">
        <f t="shared" si="562"/>
        <v>Evasão Estudantil e Ciência de Dados: primeiros passos de uma pesquisa aplicada no contexto da Educação a Distância da Universidade Estadual do Centro-Oeste</v>
      </c>
      <c r="J673" s="20" t="str">
        <f t="shared" si="2"/>
        <v/>
      </c>
      <c r="K673" s="20"/>
      <c r="L673" s="20" t="str">
        <f t="shared" si="3"/>
        <v/>
      </c>
      <c r="M673" s="18"/>
      <c r="N673" s="21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</row>
    <row r="674">
      <c r="A674" s="8" t="s">
        <v>54</v>
      </c>
      <c r="B674" s="9">
        <v>2018.0</v>
      </c>
      <c r="C674" s="10" t="s">
        <v>278</v>
      </c>
      <c r="D674" s="10" t="s">
        <v>279</v>
      </c>
      <c r="E674" s="18"/>
      <c r="F674" s="18"/>
      <c r="G674" s="12">
        <f>B674</f>
        <v>2018</v>
      </c>
      <c r="H674" s="13" t="str">
        <f>LOWER(left(O674,1)&amp;left(P674,1)&amp;left(Q674,1)&amp;left(R674,1)&amp;left(S674,1)&amp;left(T674,1))&amp;G674</f>
        <v>da+ccu2018</v>
      </c>
      <c r="I674" s="20" t="str">
        <f>trim(C674)</f>
        <v>Direito Autoral + Creative Commons: uma solução para a academia na Sociedade da Informação?</v>
      </c>
      <c r="J674" s="20" t="str">
        <f t="shared" si="2"/>
        <v>Direito Autoral</v>
      </c>
      <c r="K674" s="20"/>
      <c r="L674" s="20" t="str">
        <f t="shared" si="3"/>
        <v>direito autoral</v>
      </c>
      <c r="M674" s="18"/>
      <c r="N674" s="21" t="str">
        <f>IFERROR(__xludf.DUMMYFUNCTION("TRANSPOSE(split(D674,"";"",true,true))")," Direito Autoral")</f>
        <v> Direito Autoral</v>
      </c>
      <c r="O674" s="6" t="str">
        <f>IFERROR(__xludf.DUMMYFUNCTION("split(C674,"" "")"),"Direito")</f>
        <v>Direito</v>
      </c>
      <c r="P674" s="18" t="str">
        <f>IFERROR(__xludf.DUMMYFUNCTION("""COMPUTED_VALUE"""),"Autoral")</f>
        <v>Autoral</v>
      </c>
      <c r="Q674" s="18" t="str">
        <f>IFERROR(__xludf.DUMMYFUNCTION("""COMPUTED_VALUE"""),"+")</f>
        <v>+</v>
      </c>
      <c r="R674" s="18" t="str">
        <f>IFERROR(__xludf.DUMMYFUNCTION("""COMPUTED_VALUE"""),"Creative")</f>
        <v>Creative</v>
      </c>
      <c r="S674" s="18" t="str">
        <f>IFERROR(__xludf.DUMMYFUNCTION("""COMPUTED_VALUE"""),"Commons:")</f>
        <v>Commons:</v>
      </c>
      <c r="T674" s="18" t="str">
        <f>IFERROR(__xludf.DUMMYFUNCTION("""COMPUTED_VALUE"""),"uma")</f>
        <v>uma</v>
      </c>
      <c r="U674" s="18" t="str">
        <f>IFERROR(__xludf.DUMMYFUNCTION("""COMPUTED_VALUE"""),"solução")</f>
        <v>solução</v>
      </c>
      <c r="V674" s="18" t="str">
        <f>IFERROR(__xludf.DUMMYFUNCTION("""COMPUTED_VALUE"""),"para")</f>
        <v>para</v>
      </c>
      <c r="W674" s="18" t="str">
        <f>IFERROR(__xludf.DUMMYFUNCTION("""COMPUTED_VALUE"""),"a")</f>
        <v>a</v>
      </c>
      <c r="X674" s="18" t="str">
        <f>IFERROR(__xludf.DUMMYFUNCTION("""COMPUTED_VALUE"""),"academia")</f>
        <v>academia</v>
      </c>
      <c r="Y674" s="18" t="str">
        <f>IFERROR(__xludf.DUMMYFUNCTION("""COMPUTED_VALUE"""),"na")</f>
        <v>na</v>
      </c>
      <c r="Z674" s="18" t="str">
        <f>IFERROR(__xludf.DUMMYFUNCTION("""COMPUTED_VALUE"""),"Sociedade")</f>
        <v>Sociedade</v>
      </c>
      <c r="AA674" s="18" t="str">
        <f>IFERROR(__xludf.DUMMYFUNCTION("""COMPUTED_VALUE"""),"da")</f>
        <v>da</v>
      </c>
      <c r="AB674" s="18" t="str">
        <f>IFERROR(__xludf.DUMMYFUNCTION("""COMPUTED_VALUE"""),"Informação?")</f>
        <v>Informação?</v>
      </c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</row>
    <row r="675">
      <c r="A675" s="22"/>
      <c r="B675" s="23"/>
      <c r="C675" s="24"/>
      <c r="D675" s="24"/>
      <c r="E675" s="18"/>
      <c r="F675" s="18"/>
      <c r="G675" s="25">
        <f t="shared" ref="G675:I675" si="563">G674</f>
        <v>2018</v>
      </c>
      <c r="H675" s="20" t="str">
        <f t="shared" si="563"/>
        <v>da+ccu2018</v>
      </c>
      <c r="I675" s="20" t="str">
        <f t="shared" si="563"/>
        <v>Direito Autoral + Creative Commons: uma solução para a academia na Sociedade da Informação?</v>
      </c>
      <c r="J675" s="20" t="str">
        <f t="shared" si="2"/>
        <v>Creative Commons</v>
      </c>
      <c r="K675" s="20"/>
      <c r="L675" s="20" t="str">
        <f t="shared" si="3"/>
        <v>creative commons</v>
      </c>
      <c r="M675" s="18"/>
      <c r="N675" s="21" t="str">
        <f>IFERROR(__xludf.DUMMYFUNCTION("""COMPUTED_VALUE""")," Creative Commons")</f>
        <v> Creative Commons</v>
      </c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</row>
    <row r="676">
      <c r="A676" s="22"/>
      <c r="B676" s="23"/>
      <c r="C676" s="24"/>
      <c r="D676" s="24"/>
      <c r="E676" s="18"/>
      <c r="F676" s="18"/>
      <c r="G676" s="25">
        <f t="shared" ref="G676:I676" si="564">G675</f>
        <v>2018</v>
      </c>
      <c r="H676" s="20" t="str">
        <f t="shared" si="564"/>
        <v>da+ccu2018</v>
      </c>
      <c r="I676" s="20" t="str">
        <f t="shared" si="564"/>
        <v>Direito Autoral + Creative Commons: uma solução para a academia na Sociedade da Informação?</v>
      </c>
      <c r="J676" s="20" t="str">
        <f t="shared" si="2"/>
        <v>Sociedade da Informação</v>
      </c>
      <c r="K676" s="20"/>
      <c r="L676" s="20" t="str">
        <f t="shared" si="3"/>
        <v>sociedade da informação</v>
      </c>
      <c r="M676" s="18"/>
      <c r="N676" s="21" t="str">
        <f>IFERROR(__xludf.DUMMYFUNCTION("""COMPUTED_VALUE""")," Sociedade da Informação")</f>
        <v> Sociedade da Informação</v>
      </c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</row>
    <row r="677">
      <c r="A677" s="22"/>
      <c r="B677" s="23"/>
      <c r="C677" s="24"/>
      <c r="D677" s="24"/>
      <c r="E677" s="18"/>
      <c r="F677" s="18"/>
      <c r="G677" s="25">
        <f t="shared" ref="G677:I677" si="565">G676</f>
        <v>2018</v>
      </c>
      <c r="H677" s="20" t="str">
        <f t="shared" si="565"/>
        <v>da+ccu2018</v>
      </c>
      <c r="I677" s="20" t="str">
        <f t="shared" si="565"/>
        <v>Direito Autoral + Creative Commons: uma solução para a academia na Sociedade da Informação?</v>
      </c>
      <c r="J677" s="20" t="str">
        <f t="shared" si="2"/>
        <v/>
      </c>
      <c r="K677" s="20"/>
      <c r="L677" s="20" t="str">
        <f t="shared" si="3"/>
        <v/>
      </c>
      <c r="M677" s="18"/>
      <c r="N677" s="21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</row>
    <row r="678">
      <c r="A678" s="22"/>
      <c r="B678" s="23"/>
      <c r="C678" s="24"/>
      <c r="D678" s="24"/>
      <c r="E678" s="18"/>
      <c r="F678" s="18"/>
      <c r="G678" s="25">
        <f t="shared" ref="G678:I678" si="566">G677</f>
        <v>2018</v>
      </c>
      <c r="H678" s="20" t="str">
        <f t="shared" si="566"/>
        <v>da+ccu2018</v>
      </c>
      <c r="I678" s="20" t="str">
        <f t="shared" si="566"/>
        <v>Direito Autoral + Creative Commons: uma solução para a academia na Sociedade da Informação?</v>
      </c>
      <c r="J678" s="20" t="str">
        <f t="shared" si="2"/>
        <v/>
      </c>
      <c r="K678" s="20"/>
      <c r="L678" s="20" t="str">
        <f t="shared" si="3"/>
        <v/>
      </c>
      <c r="M678" s="18"/>
      <c r="N678" s="21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</row>
    <row r="679">
      <c r="A679" s="8"/>
      <c r="B679" s="23"/>
      <c r="C679" s="24"/>
      <c r="D679" s="24"/>
      <c r="E679" s="18"/>
      <c r="F679" s="18"/>
      <c r="G679" s="25">
        <f t="shared" ref="G679:I679" si="567">G678</f>
        <v>2018</v>
      </c>
      <c r="H679" s="20" t="str">
        <f t="shared" si="567"/>
        <v>da+ccu2018</v>
      </c>
      <c r="I679" s="20" t="str">
        <f t="shared" si="567"/>
        <v>Direito Autoral + Creative Commons: uma solução para a academia na Sociedade da Informação?</v>
      </c>
      <c r="J679" s="20" t="str">
        <f t="shared" si="2"/>
        <v/>
      </c>
      <c r="K679" s="20"/>
      <c r="L679" s="20" t="str">
        <f t="shared" si="3"/>
        <v/>
      </c>
      <c r="M679" s="18"/>
      <c r="N679" s="21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</row>
    <row r="680">
      <c r="A680" s="8" t="s">
        <v>54</v>
      </c>
      <c r="B680" s="9">
        <v>2018.0</v>
      </c>
      <c r="C680" s="10" t="s">
        <v>280</v>
      </c>
      <c r="D680" s="10" t="s">
        <v>281</v>
      </c>
      <c r="E680" s="18"/>
      <c r="F680" s="18"/>
      <c r="G680" s="12">
        <f>B680</f>
        <v>2018</v>
      </c>
      <c r="H680" s="13" t="str">
        <f>LOWER(left(O680,1)&amp;left(P680,1)&amp;left(Q680,1)&amp;left(R680,1)&amp;left(S680,1)&amp;left(T680,1))&amp;G680</f>
        <v>dapsgu2018</v>
      </c>
      <c r="I680" s="20" t="str">
        <f>trim(C680)</f>
        <v>Design Audiovisual Para Sistemas Generativos: Um experimento de construção audiovisual personalizadas</v>
      </c>
      <c r="J680" s="20" t="str">
        <f t="shared" si="2"/>
        <v>Design Audiovisual</v>
      </c>
      <c r="K680" s="20"/>
      <c r="L680" s="20" t="str">
        <f t="shared" si="3"/>
        <v>design audiovisual</v>
      </c>
      <c r="M680" s="18"/>
      <c r="N680" s="21" t="str">
        <f>IFERROR(__xludf.DUMMYFUNCTION("TRANSPOSE(split(D680,"";"",true,true))"),"Design Audiovisual")</f>
        <v>Design Audiovisual</v>
      </c>
      <c r="O680" s="6" t="str">
        <f>IFERROR(__xludf.DUMMYFUNCTION("split(C680,"" "")"),"Design")</f>
        <v>Design</v>
      </c>
      <c r="P680" s="18" t="str">
        <f>IFERROR(__xludf.DUMMYFUNCTION("""COMPUTED_VALUE"""),"Audiovisual")</f>
        <v>Audiovisual</v>
      </c>
      <c r="Q680" s="18" t="str">
        <f>IFERROR(__xludf.DUMMYFUNCTION("""COMPUTED_VALUE"""),"Para")</f>
        <v>Para</v>
      </c>
      <c r="R680" s="18" t="str">
        <f>IFERROR(__xludf.DUMMYFUNCTION("""COMPUTED_VALUE"""),"Sistemas")</f>
        <v>Sistemas</v>
      </c>
      <c r="S680" s="18" t="str">
        <f>IFERROR(__xludf.DUMMYFUNCTION("""COMPUTED_VALUE"""),"Generativos:")</f>
        <v>Generativos:</v>
      </c>
      <c r="T680" s="18" t="str">
        <f>IFERROR(__xludf.DUMMYFUNCTION("""COMPUTED_VALUE"""),"Um")</f>
        <v>Um</v>
      </c>
      <c r="U680" s="18" t="str">
        <f>IFERROR(__xludf.DUMMYFUNCTION("""COMPUTED_VALUE"""),"experimento")</f>
        <v>experimento</v>
      </c>
      <c r="V680" s="18" t="str">
        <f>IFERROR(__xludf.DUMMYFUNCTION("""COMPUTED_VALUE"""),"de")</f>
        <v>de</v>
      </c>
      <c r="W680" s="18" t="str">
        <f>IFERROR(__xludf.DUMMYFUNCTION("""COMPUTED_VALUE"""),"construção")</f>
        <v>construção</v>
      </c>
      <c r="X680" s="18" t="str">
        <f>IFERROR(__xludf.DUMMYFUNCTION("""COMPUTED_VALUE"""),"audiovisual")</f>
        <v>audiovisual</v>
      </c>
      <c r="Y680" s="18" t="str">
        <f>IFERROR(__xludf.DUMMYFUNCTION("""COMPUTED_VALUE"""),"personalizadas")</f>
        <v>personalizadas</v>
      </c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</row>
    <row r="681">
      <c r="A681" s="22"/>
      <c r="B681" s="23"/>
      <c r="C681" s="24"/>
      <c r="D681" s="24"/>
      <c r="E681" s="18"/>
      <c r="F681" s="18"/>
      <c r="G681" s="25">
        <f t="shared" ref="G681:I681" si="568">G680</f>
        <v>2018</v>
      </c>
      <c r="H681" s="20" t="str">
        <f t="shared" si="568"/>
        <v>dapsgu2018</v>
      </c>
      <c r="I681" s="20" t="str">
        <f t="shared" si="568"/>
        <v>Design Audiovisual Para Sistemas Generativos: Um experimento de construção audiovisual personalizadas</v>
      </c>
      <c r="J681" s="20" t="str">
        <f t="shared" si="2"/>
        <v>generativo</v>
      </c>
      <c r="K681" s="20"/>
      <c r="L681" s="20" t="str">
        <f t="shared" si="3"/>
        <v>generativo</v>
      </c>
      <c r="M681" s="18"/>
      <c r="N681" s="21" t="str">
        <f>IFERROR(__xludf.DUMMYFUNCTION("""COMPUTED_VALUE""")," generativo")</f>
        <v> generativo</v>
      </c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</row>
    <row r="682">
      <c r="A682" s="22"/>
      <c r="B682" s="23"/>
      <c r="C682" s="24"/>
      <c r="D682" s="24"/>
      <c r="E682" s="18"/>
      <c r="F682" s="18"/>
      <c r="G682" s="25">
        <f t="shared" ref="G682:I682" si="569">G681</f>
        <v>2018</v>
      </c>
      <c r="H682" s="20" t="str">
        <f t="shared" si="569"/>
        <v>dapsgu2018</v>
      </c>
      <c r="I682" s="20" t="str">
        <f t="shared" si="569"/>
        <v>Design Audiovisual Para Sistemas Generativos: Um experimento de construção audiovisual personalizadas</v>
      </c>
      <c r="J682" s="20" t="str">
        <f t="shared" si="2"/>
        <v>personalização</v>
      </c>
      <c r="K682" s="20"/>
      <c r="L682" s="20" t="str">
        <f t="shared" si="3"/>
        <v>personalização</v>
      </c>
      <c r="M682" s="18"/>
      <c r="N682" s="21" t="str">
        <f>IFERROR(__xludf.DUMMYFUNCTION("""COMPUTED_VALUE""")," personalização")</f>
        <v> personalização</v>
      </c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</row>
    <row r="683">
      <c r="A683" s="22"/>
      <c r="B683" s="23"/>
      <c r="C683" s="24"/>
      <c r="D683" s="24"/>
      <c r="E683" s="18"/>
      <c r="F683" s="18"/>
      <c r="G683" s="25">
        <f t="shared" ref="G683:I683" si="570">G682</f>
        <v>2018</v>
      </c>
      <c r="H683" s="20" t="str">
        <f t="shared" si="570"/>
        <v>dapsgu2018</v>
      </c>
      <c r="I683" s="20" t="str">
        <f t="shared" si="570"/>
        <v>Design Audiovisual Para Sistemas Generativos: Um experimento de construção audiovisual personalizadas</v>
      </c>
      <c r="J683" s="20" t="str">
        <f t="shared" si="2"/>
        <v/>
      </c>
      <c r="K683" s="20"/>
      <c r="L683" s="20" t="str">
        <f t="shared" si="3"/>
        <v/>
      </c>
      <c r="M683" s="18"/>
      <c r="N683" s="21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</row>
    <row r="684">
      <c r="A684" s="22"/>
      <c r="B684" s="23"/>
      <c r="C684" s="24"/>
      <c r="D684" s="24"/>
      <c r="E684" s="18"/>
      <c r="F684" s="18"/>
      <c r="G684" s="25">
        <f t="shared" ref="G684:I684" si="571">G683</f>
        <v>2018</v>
      </c>
      <c r="H684" s="20" t="str">
        <f t="shared" si="571"/>
        <v>dapsgu2018</v>
      </c>
      <c r="I684" s="20" t="str">
        <f t="shared" si="571"/>
        <v>Design Audiovisual Para Sistemas Generativos: Um experimento de construção audiovisual personalizadas</v>
      </c>
      <c r="J684" s="20" t="str">
        <f t="shared" si="2"/>
        <v/>
      </c>
      <c r="K684" s="20"/>
      <c r="L684" s="20" t="str">
        <f t="shared" si="3"/>
        <v/>
      </c>
      <c r="M684" s="18"/>
      <c r="N684" s="21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</row>
    <row r="685">
      <c r="A685" s="8"/>
      <c r="B685" s="23"/>
      <c r="C685" s="24"/>
      <c r="D685" s="24"/>
      <c r="E685" s="18"/>
      <c r="F685" s="18"/>
      <c r="G685" s="25">
        <f t="shared" ref="G685:I685" si="572">G684</f>
        <v>2018</v>
      </c>
      <c r="H685" s="20" t="str">
        <f t="shared" si="572"/>
        <v>dapsgu2018</v>
      </c>
      <c r="I685" s="20" t="str">
        <f t="shared" si="572"/>
        <v>Design Audiovisual Para Sistemas Generativos: Um experimento de construção audiovisual personalizadas</v>
      </c>
      <c r="J685" s="20" t="str">
        <f t="shared" si="2"/>
        <v/>
      </c>
      <c r="K685" s="20"/>
      <c r="L685" s="20" t="str">
        <f t="shared" si="3"/>
        <v/>
      </c>
      <c r="M685" s="18"/>
      <c r="N685" s="21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</row>
    <row r="686">
      <c r="A686" s="8" t="s">
        <v>54</v>
      </c>
      <c r="B686" s="9">
        <v>2018.0</v>
      </c>
      <c r="C686" s="10" t="s">
        <v>282</v>
      </c>
      <c r="D686" s="10" t="s">
        <v>283</v>
      </c>
      <c r="E686" s="18"/>
      <c r="F686" s="18"/>
      <c r="G686" s="12">
        <f>B686</f>
        <v>2018</v>
      </c>
      <c r="H686" s="13" t="str">
        <f>LOWER(left(O686,1)&amp;left(P686,1)&amp;left(Q686,1)&amp;left(R686,1)&amp;left(S686,1)&amp;left(T686,1))&amp;G686</f>
        <v>dtnpdr2018</v>
      </c>
      <c r="I686" s="20" t="str">
        <f>trim(C686)</f>
        <v>Desafios Tecnológicos no processo de recepção normativa: adequação e conformidade na perspectiva da Lei de Proteção de Dados Pessoais</v>
      </c>
      <c r="J686" s="20" t="str">
        <f t="shared" si="2"/>
        <v>Lei de Proteção de Dados Pessoais</v>
      </c>
      <c r="K686" s="20"/>
      <c r="L686" s="20" t="str">
        <f t="shared" si="3"/>
        <v>lei de proteção de dados pessoais</v>
      </c>
      <c r="M686" s="18"/>
      <c r="N686" s="21" t="str">
        <f>IFERROR(__xludf.DUMMYFUNCTION("TRANSPOSE(split(D686,"";"",true,true))"),"Lei de Proteção de Dados Pessoais")</f>
        <v>Lei de Proteção de Dados Pessoais</v>
      </c>
      <c r="O686" s="6" t="str">
        <f>IFERROR(__xludf.DUMMYFUNCTION("split(C686,"" "")"),"Desafios")</f>
        <v>Desafios</v>
      </c>
      <c r="P686" s="18" t="str">
        <f>IFERROR(__xludf.DUMMYFUNCTION("""COMPUTED_VALUE"""),"Tecnológicos")</f>
        <v>Tecnológicos</v>
      </c>
      <c r="Q686" s="18" t="str">
        <f>IFERROR(__xludf.DUMMYFUNCTION("""COMPUTED_VALUE"""),"no")</f>
        <v>no</v>
      </c>
      <c r="R686" s="18" t="str">
        <f>IFERROR(__xludf.DUMMYFUNCTION("""COMPUTED_VALUE"""),"processo")</f>
        <v>processo</v>
      </c>
      <c r="S686" s="18" t="str">
        <f>IFERROR(__xludf.DUMMYFUNCTION("""COMPUTED_VALUE"""),"de")</f>
        <v>de</v>
      </c>
      <c r="T686" s="18" t="str">
        <f>IFERROR(__xludf.DUMMYFUNCTION("""COMPUTED_VALUE"""),"recepção")</f>
        <v>recepção</v>
      </c>
      <c r="U686" s="18" t="str">
        <f>IFERROR(__xludf.DUMMYFUNCTION("""COMPUTED_VALUE"""),"normativa:")</f>
        <v>normativa:</v>
      </c>
      <c r="V686" s="18" t="str">
        <f>IFERROR(__xludf.DUMMYFUNCTION("""COMPUTED_VALUE"""),"adequação")</f>
        <v>adequação</v>
      </c>
      <c r="W686" s="18" t="str">
        <f>IFERROR(__xludf.DUMMYFUNCTION("""COMPUTED_VALUE"""),"e")</f>
        <v>e</v>
      </c>
      <c r="X686" s="18" t="str">
        <f>IFERROR(__xludf.DUMMYFUNCTION("""COMPUTED_VALUE"""),"conformidade")</f>
        <v>conformidade</v>
      </c>
      <c r="Y686" s="18" t="str">
        <f>IFERROR(__xludf.DUMMYFUNCTION("""COMPUTED_VALUE"""),"na")</f>
        <v>na</v>
      </c>
      <c r="Z686" s="18" t="str">
        <f>IFERROR(__xludf.DUMMYFUNCTION("""COMPUTED_VALUE"""),"perspectiva")</f>
        <v>perspectiva</v>
      </c>
      <c r="AA686" s="18" t="str">
        <f>IFERROR(__xludf.DUMMYFUNCTION("""COMPUTED_VALUE"""),"da")</f>
        <v>da</v>
      </c>
      <c r="AB686" s="18" t="str">
        <f>IFERROR(__xludf.DUMMYFUNCTION("""COMPUTED_VALUE"""),"Lei")</f>
        <v>Lei</v>
      </c>
      <c r="AC686" s="18" t="str">
        <f>IFERROR(__xludf.DUMMYFUNCTION("""COMPUTED_VALUE"""),"de")</f>
        <v>de</v>
      </c>
      <c r="AD686" s="18" t="str">
        <f>IFERROR(__xludf.DUMMYFUNCTION("""COMPUTED_VALUE"""),"Proteção")</f>
        <v>Proteção</v>
      </c>
      <c r="AE686" s="18" t="str">
        <f>IFERROR(__xludf.DUMMYFUNCTION("""COMPUTED_VALUE"""),"de")</f>
        <v>de</v>
      </c>
      <c r="AF686" s="18" t="str">
        <f>IFERROR(__xludf.DUMMYFUNCTION("""COMPUTED_VALUE"""),"Dados")</f>
        <v>Dados</v>
      </c>
      <c r="AG686" s="18" t="str">
        <f>IFERROR(__xludf.DUMMYFUNCTION("""COMPUTED_VALUE"""),"Pessoais")</f>
        <v>Pessoais</v>
      </c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</row>
    <row r="687">
      <c r="A687" s="22"/>
      <c r="B687" s="23"/>
      <c r="C687" s="24"/>
      <c r="D687" s="24"/>
      <c r="E687" s="18"/>
      <c r="F687" s="18"/>
      <c r="G687" s="25">
        <f t="shared" ref="G687:I687" si="573">G686</f>
        <v>2018</v>
      </c>
      <c r="H687" s="20" t="str">
        <f t="shared" si="573"/>
        <v>dtnpdr2018</v>
      </c>
      <c r="I687" s="20" t="str">
        <f t="shared" si="573"/>
        <v>Desafios Tecnológicos no processo de recepção normativa: adequação e conformidade na perspectiva da Lei de Proteção de Dados Pessoais</v>
      </c>
      <c r="J687" s="20" t="str">
        <f t="shared" si="2"/>
        <v>Privacidade</v>
      </c>
      <c r="K687" s="20"/>
      <c r="L687" s="20" t="str">
        <f t="shared" si="3"/>
        <v>privacidade</v>
      </c>
      <c r="M687" s="18"/>
      <c r="N687" s="21" t="str">
        <f>IFERROR(__xludf.DUMMYFUNCTION("""COMPUTED_VALUE""")," Privacidade")</f>
        <v> Privacidade</v>
      </c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</row>
    <row r="688">
      <c r="A688" s="22"/>
      <c r="B688" s="23"/>
      <c r="C688" s="24"/>
      <c r="D688" s="24"/>
      <c r="E688" s="18"/>
      <c r="F688" s="18"/>
      <c r="G688" s="25">
        <f t="shared" ref="G688:I688" si="574">G687</f>
        <v>2018</v>
      </c>
      <c r="H688" s="20" t="str">
        <f t="shared" si="574"/>
        <v>dtnpdr2018</v>
      </c>
      <c r="I688" s="20" t="str">
        <f t="shared" si="574"/>
        <v>Desafios Tecnológicos no processo de recepção normativa: adequação e conformidade na perspectiva da Lei de Proteção de Dados Pessoais</v>
      </c>
      <c r="J688" s="20" t="str">
        <f t="shared" si="2"/>
        <v>Inovação</v>
      </c>
      <c r="K688" s="20"/>
      <c r="L688" s="20" t="str">
        <f t="shared" si="3"/>
        <v>inovação</v>
      </c>
      <c r="M688" s="18"/>
      <c r="N688" s="21" t="str">
        <f>IFERROR(__xludf.DUMMYFUNCTION("""COMPUTED_VALUE""")," Inovação")</f>
        <v> Inovação</v>
      </c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</row>
    <row r="689">
      <c r="A689" s="22"/>
      <c r="B689" s="23"/>
      <c r="C689" s="24"/>
      <c r="D689" s="24"/>
      <c r="E689" s="18"/>
      <c r="F689" s="18"/>
      <c r="G689" s="25">
        <f t="shared" ref="G689:I689" si="575">G688</f>
        <v>2018</v>
      </c>
      <c r="H689" s="20" t="str">
        <f t="shared" si="575"/>
        <v>dtnpdr2018</v>
      </c>
      <c r="I689" s="20" t="str">
        <f t="shared" si="575"/>
        <v>Desafios Tecnológicos no processo de recepção normativa: adequação e conformidade na perspectiva da Lei de Proteção de Dados Pessoais</v>
      </c>
      <c r="J689" s="20" t="str">
        <f t="shared" si="2"/>
        <v>Política Nacional de Ciência</v>
      </c>
      <c r="K689" s="20"/>
      <c r="L689" s="20" t="str">
        <f t="shared" si="3"/>
        <v>política nacional de ciência</v>
      </c>
      <c r="M689" s="18"/>
      <c r="N689" s="21" t="str">
        <f>IFERROR(__xludf.DUMMYFUNCTION("""COMPUTED_VALUE""")," Política Nacional de Ciência")</f>
        <v> Política Nacional de Ciência</v>
      </c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</row>
    <row r="690">
      <c r="A690" s="22"/>
      <c r="B690" s="23"/>
      <c r="C690" s="24"/>
      <c r="D690" s="24"/>
      <c r="E690" s="18"/>
      <c r="F690" s="18"/>
      <c r="G690" s="25">
        <f t="shared" ref="G690:I690" si="576">G689</f>
        <v>2018</v>
      </c>
      <c r="H690" s="20" t="str">
        <f t="shared" si="576"/>
        <v>dtnpdr2018</v>
      </c>
      <c r="I690" s="20" t="str">
        <f t="shared" si="576"/>
        <v>Desafios Tecnológicos no processo de recepção normativa: adequação e conformidade na perspectiva da Lei de Proteção de Dados Pessoais</v>
      </c>
      <c r="J690" s="20" t="str">
        <f t="shared" si="2"/>
        <v>Tecnologia e Inovação</v>
      </c>
      <c r="K690" s="20"/>
      <c r="L690" s="20" t="str">
        <f t="shared" si="3"/>
        <v>tecnologia e inovação</v>
      </c>
      <c r="M690" s="18"/>
      <c r="N690" s="21" t="str">
        <f>IFERROR(__xludf.DUMMYFUNCTION("""COMPUTED_VALUE""")," Tecnologia e Inovação")</f>
        <v> Tecnologia e Inovação</v>
      </c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</row>
    <row r="691">
      <c r="A691" s="22"/>
      <c r="B691" s="23"/>
      <c r="C691" s="24"/>
      <c r="D691" s="24"/>
      <c r="E691" s="18"/>
      <c r="F691" s="18"/>
      <c r="G691" s="25">
        <f t="shared" ref="G691:I691" si="577">G690</f>
        <v>2018</v>
      </c>
      <c r="H691" s="20" t="str">
        <f t="shared" si="577"/>
        <v>dtnpdr2018</v>
      </c>
      <c r="I691" s="20" t="str">
        <f t="shared" si="577"/>
        <v>Desafios Tecnológicos no processo de recepção normativa: adequação e conformidade na perspectiva da Lei de Proteção de Dados Pessoais</v>
      </c>
      <c r="J691" s="20" t="str">
        <f t="shared" si="2"/>
        <v/>
      </c>
      <c r="K691" s="20"/>
      <c r="L691" s="20" t="str">
        <f t="shared" si="3"/>
        <v/>
      </c>
      <c r="M691" s="18"/>
      <c r="N691" s="21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</row>
    <row r="692">
      <c r="A692" s="8" t="s">
        <v>54</v>
      </c>
      <c r="B692" s="9">
        <v>2018.0</v>
      </c>
      <c r="C692" s="10" t="s">
        <v>284</v>
      </c>
      <c r="D692" s="10" t="s">
        <v>285</v>
      </c>
      <c r="E692" s="18"/>
      <c r="F692" s="18"/>
      <c r="G692" s="12">
        <f>B692</f>
        <v>2018</v>
      </c>
      <c r="H692" s="13" t="str">
        <f>LOWER(left(O692,1)&amp;left(P692,1)&amp;left(Q692,1)&amp;left(R692,1)&amp;left(S692,1)&amp;left(T692,1))&amp;G692</f>
        <v>alcces2018</v>
      </c>
      <c r="I692" s="20" t="str">
        <f>trim(C692)</f>
        <v>As licenças Creative Commons e Software Livre como formas de proteção na sociedade da informação compartilhada</v>
      </c>
      <c r="J692" s="20" t="str">
        <f t="shared" si="2"/>
        <v>Licenças</v>
      </c>
      <c r="K692" s="20"/>
      <c r="L692" s="20" t="str">
        <f t="shared" si="3"/>
        <v>licenças</v>
      </c>
      <c r="M692" s="18"/>
      <c r="N692" s="21" t="str">
        <f>IFERROR(__xludf.DUMMYFUNCTION("TRANSPOSE(split(D692,"";"",true,true))"),"Licenças")</f>
        <v>Licenças</v>
      </c>
      <c r="O692" s="6" t="str">
        <f>IFERROR(__xludf.DUMMYFUNCTION("split(C692,"" "")"),"As")</f>
        <v>As</v>
      </c>
      <c r="P692" s="18" t="str">
        <f>IFERROR(__xludf.DUMMYFUNCTION("""COMPUTED_VALUE"""),"licenças")</f>
        <v>licenças</v>
      </c>
      <c r="Q692" s="18" t="str">
        <f>IFERROR(__xludf.DUMMYFUNCTION("""COMPUTED_VALUE"""),"Creative")</f>
        <v>Creative</v>
      </c>
      <c r="R692" s="18" t="str">
        <f>IFERROR(__xludf.DUMMYFUNCTION("""COMPUTED_VALUE"""),"Commons")</f>
        <v>Commons</v>
      </c>
      <c r="S692" s="18" t="str">
        <f>IFERROR(__xludf.DUMMYFUNCTION("""COMPUTED_VALUE"""),"e")</f>
        <v>e</v>
      </c>
      <c r="T692" s="18" t="str">
        <f>IFERROR(__xludf.DUMMYFUNCTION("""COMPUTED_VALUE"""),"Software")</f>
        <v>Software</v>
      </c>
      <c r="U692" s="18" t="str">
        <f>IFERROR(__xludf.DUMMYFUNCTION("""COMPUTED_VALUE"""),"Livre")</f>
        <v>Livre</v>
      </c>
      <c r="V692" s="18" t="str">
        <f>IFERROR(__xludf.DUMMYFUNCTION("""COMPUTED_VALUE"""),"como")</f>
        <v>como</v>
      </c>
      <c r="W692" s="18" t="str">
        <f>IFERROR(__xludf.DUMMYFUNCTION("""COMPUTED_VALUE"""),"formas")</f>
        <v>formas</v>
      </c>
      <c r="X692" s="18" t="str">
        <f>IFERROR(__xludf.DUMMYFUNCTION("""COMPUTED_VALUE"""),"de")</f>
        <v>de</v>
      </c>
      <c r="Y692" s="18" t="str">
        <f>IFERROR(__xludf.DUMMYFUNCTION("""COMPUTED_VALUE"""),"proteção")</f>
        <v>proteção</v>
      </c>
      <c r="Z692" s="18" t="str">
        <f>IFERROR(__xludf.DUMMYFUNCTION("""COMPUTED_VALUE"""),"na")</f>
        <v>na</v>
      </c>
      <c r="AA692" s="18" t="str">
        <f>IFERROR(__xludf.DUMMYFUNCTION("""COMPUTED_VALUE"""),"sociedade")</f>
        <v>sociedade</v>
      </c>
      <c r="AB692" s="18" t="str">
        <f>IFERROR(__xludf.DUMMYFUNCTION("""COMPUTED_VALUE"""),"da")</f>
        <v>da</v>
      </c>
      <c r="AC692" s="18" t="str">
        <f>IFERROR(__xludf.DUMMYFUNCTION("""COMPUTED_VALUE"""),"informação")</f>
        <v>informação</v>
      </c>
      <c r="AD692" s="18" t="str">
        <f>IFERROR(__xludf.DUMMYFUNCTION("""COMPUTED_VALUE"""),"compartilhada")</f>
        <v>compartilhada</v>
      </c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</row>
    <row r="693">
      <c r="A693" s="22"/>
      <c r="B693" s="23"/>
      <c r="C693" s="24"/>
      <c r="D693" s="24"/>
      <c r="E693" s="18"/>
      <c r="F693" s="18"/>
      <c r="G693" s="25">
        <f t="shared" ref="G693:I693" si="578">G692</f>
        <v>2018</v>
      </c>
      <c r="H693" s="20" t="str">
        <f t="shared" si="578"/>
        <v>alcces2018</v>
      </c>
      <c r="I693" s="20" t="str">
        <f t="shared" si="578"/>
        <v>As licenças Creative Commons e Software Livre como formas de proteção na sociedade da informação compartilhada</v>
      </c>
      <c r="J693" s="20" t="str">
        <f t="shared" si="2"/>
        <v>Creative Commons</v>
      </c>
      <c r="K693" s="20"/>
      <c r="L693" s="20" t="str">
        <f t="shared" si="3"/>
        <v>creative commons</v>
      </c>
      <c r="M693" s="18"/>
      <c r="N693" s="21" t="str">
        <f>IFERROR(__xludf.DUMMYFUNCTION("""COMPUTED_VALUE""")," Creative Commons")</f>
        <v> Creative Commons</v>
      </c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</row>
    <row r="694">
      <c r="A694" s="22"/>
      <c r="B694" s="23"/>
      <c r="C694" s="24"/>
      <c r="D694" s="24"/>
      <c r="E694" s="18"/>
      <c r="F694" s="18"/>
      <c r="G694" s="25">
        <f t="shared" ref="G694:I694" si="579">G693</f>
        <v>2018</v>
      </c>
      <c r="H694" s="20" t="str">
        <f t="shared" si="579"/>
        <v>alcces2018</v>
      </c>
      <c r="I694" s="20" t="str">
        <f t="shared" si="579"/>
        <v>As licenças Creative Commons e Software Livre como formas de proteção na sociedade da informação compartilhada</v>
      </c>
      <c r="J694" s="20" t="str">
        <f t="shared" si="2"/>
        <v>Software Livre</v>
      </c>
      <c r="K694" s="20"/>
      <c r="L694" s="20" t="str">
        <f t="shared" si="3"/>
        <v>software livre</v>
      </c>
      <c r="M694" s="18"/>
      <c r="N694" s="21" t="str">
        <f>IFERROR(__xludf.DUMMYFUNCTION("""COMPUTED_VALUE""")," Software Livre")</f>
        <v> Software Livre</v>
      </c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</row>
    <row r="695">
      <c r="A695" s="22"/>
      <c r="B695" s="23"/>
      <c r="C695" s="24"/>
      <c r="D695" s="24"/>
      <c r="E695" s="18"/>
      <c r="F695" s="18"/>
      <c r="G695" s="25">
        <f t="shared" ref="G695:I695" si="580">G694</f>
        <v>2018</v>
      </c>
      <c r="H695" s="20" t="str">
        <f t="shared" si="580"/>
        <v>alcces2018</v>
      </c>
      <c r="I695" s="20" t="str">
        <f t="shared" si="580"/>
        <v>As licenças Creative Commons e Software Livre como formas de proteção na sociedade da informação compartilhada</v>
      </c>
      <c r="J695" s="20" t="str">
        <f t="shared" si="2"/>
        <v>Sociedade da Informação</v>
      </c>
      <c r="K695" s="20"/>
      <c r="L695" s="20" t="str">
        <f t="shared" si="3"/>
        <v>sociedade da informação</v>
      </c>
      <c r="M695" s="18"/>
      <c r="N695" s="21" t="str">
        <f>IFERROR(__xludf.DUMMYFUNCTION("""COMPUTED_VALUE""")," Sociedade da Informação")</f>
        <v> Sociedade da Informação</v>
      </c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</row>
    <row r="696">
      <c r="A696" s="22"/>
      <c r="B696" s="23"/>
      <c r="C696" s="24"/>
      <c r="D696" s="24"/>
      <c r="E696" s="18"/>
      <c r="F696" s="18"/>
      <c r="G696" s="25">
        <f t="shared" ref="G696:I696" si="581">G695</f>
        <v>2018</v>
      </c>
      <c r="H696" s="20" t="str">
        <f t="shared" si="581"/>
        <v>alcces2018</v>
      </c>
      <c r="I696" s="20" t="str">
        <f t="shared" si="581"/>
        <v>As licenças Creative Commons e Software Livre como formas de proteção na sociedade da informação compartilhada</v>
      </c>
      <c r="J696" s="20" t="str">
        <f t="shared" si="2"/>
        <v/>
      </c>
      <c r="K696" s="20"/>
      <c r="L696" s="20" t="str">
        <f t="shared" si="3"/>
        <v/>
      </c>
      <c r="M696" s="18"/>
      <c r="N696" s="21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</row>
    <row r="697">
      <c r="A697" s="8"/>
      <c r="B697" s="23"/>
      <c r="C697" s="24"/>
      <c r="D697" s="24"/>
      <c r="E697" s="18"/>
      <c r="F697" s="18"/>
      <c r="G697" s="25">
        <f t="shared" ref="G697:I697" si="582">G696</f>
        <v>2018</v>
      </c>
      <c r="H697" s="20" t="str">
        <f t="shared" si="582"/>
        <v>alcces2018</v>
      </c>
      <c r="I697" s="20" t="str">
        <f t="shared" si="582"/>
        <v>As licenças Creative Commons e Software Livre como formas de proteção na sociedade da informação compartilhada</v>
      </c>
      <c r="J697" s="20" t="str">
        <f t="shared" si="2"/>
        <v/>
      </c>
      <c r="K697" s="20"/>
      <c r="L697" s="20" t="str">
        <f t="shared" si="3"/>
        <v/>
      </c>
      <c r="M697" s="18"/>
      <c r="N697" s="21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</row>
    <row r="698">
      <c r="A698" s="8" t="s">
        <v>54</v>
      </c>
      <c r="B698" s="9">
        <v>2018.0</v>
      </c>
      <c r="C698" s="10" t="s">
        <v>286</v>
      </c>
      <c r="D698" s="10" t="s">
        <v>287</v>
      </c>
      <c r="E698" s="18"/>
      <c r="F698" s="18"/>
      <c r="G698" s="12">
        <f>B698</f>
        <v>2018</v>
      </c>
      <c r="H698" s="13" t="str">
        <f>LOWER(left(O698,1)&amp;left(P698,1)&amp;left(Q698,1)&amp;left(R698,1)&amp;left(S698,1)&amp;left(T698,1))&amp;G698</f>
        <v>auadvd2018</v>
      </c>
      <c r="I698" s="20" t="str">
        <f>trim(C698)</f>
        <v>Arbovis: Uma aplicação de visualização de dados sobre Arboviroses</v>
      </c>
      <c r="J698" s="20" t="str">
        <f t="shared" si="2"/>
        <v>arboviroses</v>
      </c>
      <c r="K698" s="20"/>
      <c r="L698" s="20" t="str">
        <f t="shared" si="3"/>
        <v>arboviroses</v>
      </c>
      <c r="M698" s="18"/>
      <c r="N698" s="21" t="str">
        <f>IFERROR(__xludf.DUMMYFUNCTION("TRANSPOSE(split(D698,"";"",true,true))"),"arboviroses")</f>
        <v>arboviroses</v>
      </c>
      <c r="O698" s="6" t="str">
        <f>IFERROR(__xludf.DUMMYFUNCTION("split(C698,"" "")"),"Arbovis:")</f>
        <v>Arbovis:</v>
      </c>
      <c r="P698" s="18" t="str">
        <f>IFERROR(__xludf.DUMMYFUNCTION("""COMPUTED_VALUE"""),"Uma")</f>
        <v>Uma</v>
      </c>
      <c r="Q698" s="18" t="str">
        <f>IFERROR(__xludf.DUMMYFUNCTION("""COMPUTED_VALUE"""),"aplicação")</f>
        <v>aplicação</v>
      </c>
      <c r="R698" s="18" t="str">
        <f>IFERROR(__xludf.DUMMYFUNCTION("""COMPUTED_VALUE"""),"de")</f>
        <v>de</v>
      </c>
      <c r="S698" s="18" t="str">
        <f>IFERROR(__xludf.DUMMYFUNCTION("""COMPUTED_VALUE"""),"visualização")</f>
        <v>visualização</v>
      </c>
      <c r="T698" s="18" t="str">
        <f>IFERROR(__xludf.DUMMYFUNCTION("""COMPUTED_VALUE"""),"de")</f>
        <v>de</v>
      </c>
      <c r="U698" s="18" t="str">
        <f>IFERROR(__xludf.DUMMYFUNCTION("""COMPUTED_VALUE"""),"dados")</f>
        <v>dados</v>
      </c>
      <c r="V698" s="18" t="str">
        <f>IFERROR(__xludf.DUMMYFUNCTION("""COMPUTED_VALUE"""),"sobre")</f>
        <v>sobre</v>
      </c>
      <c r="W698" s="18" t="str">
        <f>IFERROR(__xludf.DUMMYFUNCTION("""COMPUTED_VALUE"""),"Arboviroses")</f>
        <v>Arboviroses</v>
      </c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</row>
    <row r="699">
      <c r="A699" s="22"/>
      <c r="B699" s="23"/>
      <c r="C699" s="24"/>
      <c r="D699" s="24"/>
      <c r="E699" s="18"/>
      <c r="F699" s="18"/>
      <c r="G699" s="25">
        <f t="shared" ref="G699:I699" si="583">G698</f>
        <v>2018</v>
      </c>
      <c r="H699" s="20" t="str">
        <f t="shared" si="583"/>
        <v>auadvd2018</v>
      </c>
      <c r="I699" s="20" t="str">
        <f t="shared" si="583"/>
        <v>Arbovis: Uma aplicação de visualização de dados sobre Arboviroses</v>
      </c>
      <c r="J699" s="20" t="str">
        <f t="shared" si="2"/>
        <v>análise de dados</v>
      </c>
      <c r="K699" s="20"/>
      <c r="L699" s="20" t="str">
        <f t="shared" si="3"/>
        <v>análise de dados</v>
      </c>
      <c r="M699" s="18"/>
      <c r="N699" s="21" t="str">
        <f>IFERROR(__xludf.DUMMYFUNCTION("""COMPUTED_VALUE""")," análise de dados")</f>
        <v> análise de dados</v>
      </c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</row>
    <row r="700">
      <c r="A700" s="22"/>
      <c r="B700" s="23"/>
      <c r="C700" s="24"/>
      <c r="D700" s="24"/>
      <c r="E700" s="18"/>
      <c r="F700" s="18"/>
      <c r="G700" s="25">
        <f t="shared" ref="G700:I700" si="584">G699</f>
        <v>2018</v>
      </c>
      <c r="H700" s="20" t="str">
        <f t="shared" si="584"/>
        <v>auadvd2018</v>
      </c>
      <c r="I700" s="20" t="str">
        <f t="shared" si="584"/>
        <v>Arbovis: Uma aplicação de visualização de dados sobre Arboviroses</v>
      </c>
      <c r="J700" s="20" t="str">
        <f t="shared" si="2"/>
        <v>visualização de dados</v>
      </c>
      <c r="K700" s="20"/>
      <c r="L700" s="20" t="str">
        <f t="shared" si="3"/>
        <v>visualização de dados</v>
      </c>
      <c r="M700" s="18"/>
      <c r="N700" s="21" t="str">
        <f>IFERROR(__xludf.DUMMYFUNCTION("""COMPUTED_VALUE""")," visualização de dados")</f>
        <v> visualização de dados</v>
      </c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</row>
    <row r="701">
      <c r="A701" s="22"/>
      <c r="B701" s="23"/>
      <c r="C701" s="24"/>
      <c r="D701" s="24"/>
      <c r="E701" s="18"/>
      <c r="F701" s="18"/>
      <c r="G701" s="25">
        <f t="shared" ref="G701:I701" si="585">G700</f>
        <v>2018</v>
      </c>
      <c r="H701" s="20" t="str">
        <f t="shared" si="585"/>
        <v>auadvd2018</v>
      </c>
      <c r="I701" s="20" t="str">
        <f t="shared" si="585"/>
        <v>Arbovis: Uma aplicação de visualização de dados sobre Arboviroses</v>
      </c>
      <c r="J701" s="20" t="str">
        <f t="shared" si="2"/>
        <v>aplicação web</v>
      </c>
      <c r="K701" s="20"/>
      <c r="L701" s="20" t="str">
        <f t="shared" si="3"/>
        <v>aplicação web</v>
      </c>
      <c r="M701" s="18"/>
      <c r="N701" s="21" t="str">
        <f>IFERROR(__xludf.DUMMYFUNCTION("""COMPUTED_VALUE""")," aplicação web")</f>
        <v> aplicação web</v>
      </c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</row>
    <row r="702">
      <c r="A702" s="22"/>
      <c r="B702" s="23"/>
      <c r="C702" s="24"/>
      <c r="D702" s="24"/>
      <c r="E702" s="18"/>
      <c r="F702" s="18"/>
      <c r="G702" s="25">
        <f t="shared" ref="G702:I702" si="586">G701</f>
        <v>2018</v>
      </c>
      <c r="H702" s="20" t="str">
        <f t="shared" si="586"/>
        <v>auadvd2018</v>
      </c>
      <c r="I702" s="20" t="str">
        <f t="shared" si="586"/>
        <v>Arbovis: Uma aplicação de visualização de dados sobre Arboviroses</v>
      </c>
      <c r="J702" s="20" t="str">
        <f t="shared" si="2"/>
        <v/>
      </c>
      <c r="K702" s="20"/>
      <c r="L702" s="20" t="str">
        <f t="shared" si="3"/>
        <v/>
      </c>
      <c r="M702" s="18"/>
      <c r="N702" s="21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</row>
    <row r="703">
      <c r="A703" s="8"/>
      <c r="B703" s="23"/>
      <c r="C703" s="24"/>
      <c r="D703" s="24"/>
      <c r="E703" s="18"/>
      <c r="F703" s="18"/>
      <c r="G703" s="25">
        <f t="shared" ref="G703:I703" si="587">G702</f>
        <v>2018</v>
      </c>
      <c r="H703" s="20" t="str">
        <f t="shared" si="587"/>
        <v>auadvd2018</v>
      </c>
      <c r="I703" s="20" t="str">
        <f t="shared" si="587"/>
        <v>Arbovis: Uma aplicação de visualização de dados sobre Arboviroses</v>
      </c>
      <c r="J703" s="20" t="str">
        <f t="shared" si="2"/>
        <v/>
      </c>
      <c r="K703" s="20"/>
      <c r="L703" s="20" t="str">
        <f t="shared" si="3"/>
        <v/>
      </c>
      <c r="M703" s="18"/>
      <c r="N703" s="21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</row>
    <row r="704">
      <c r="A704" s="8" t="s">
        <v>54</v>
      </c>
      <c r="B704" s="9">
        <v>2018.0</v>
      </c>
      <c r="C704" s="10" t="s">
        <v>288</v>
      </c>
      <c r="D704" s="10" t="s">
        <v>289</v>
      </c>
      <c r="E704" s="18"/>
      <c r="F704" s="18"/>
      <c r="G704" s="12">
        <f>B704</f>
        <v>2018</v>
      </c>
      <c r="H704" s="13" t="str">
        <f>LOWER(left(O704,1)&amp;left(P704,1)&amp;left(Q704,1)&amp;left(R704,1)&amp;left(S704,1)&amp;left(T704,1))&amp;G704</f>
        <v>adsise2018</v>
      </c>
      <c r="I704" s="20" t="str">
        <f>trim(C704)</f>
        <v>Análise de sentimentos: Identificando sentimentos em comentários da Rede Humaniza SUS</v>
      </c>
      <c r="J704" s="20" t="str">
        <f t="shared" si="2"/>
        <v>Rede Humaniza SUS</v>
      </c>
      <c r="K704" s="20"/>
      <c r="L704" s="20" t="str">
        <f t="shared" si="3"/>
        <v>rede humaniza sus</v>
      </c>
      <c r="M704" s="18"/>
      <c r="N704" s="21" t="str">
        <f>IFERROR(__xludf.DUMMYFUNCTION("TRANSPOSE(split(D704,"";"",true,true))"),"Rede Humaniza SUS")</f>
        <v>Rede Humaniza SUS</v>
      </c>
      <c r="O704" s="6" t="str">
        <f>IFERROR(__xludf.DUMMYFUNCTION("split(C704,"" "")"),"Análise")</f>
        <v>Análise</v>
      </c>
      <c r="P704" s="18" t="str">
        <f>IFERROR(__xludf.DUMMYFUNCTION("""COMPUTED_VALUE"""),"de")</f>
        <v>de</v>
      </c>
      <c r="Q704" s="18" t="str">
        <f>IFERROR(__xludf.DUMMYFUNCTION("""COMPUTED_VALUE"""),"sentimentos:")</f>
        <v>sentimentos:</v>
      </c>
      <c r="R704" s="18" t="str">
        <f>IFERROR(__xludf.DUMMYFUNCTION("""COMPUTED_VALUE"""),"Identificando")</f>
        <v>Identificando</v>
      </c>
      <c r="S704" s="18" t="str">
        <f>IFERROR(__xludf.DUMMYFUNCTION("""COMPUTED_VALUE"""),"sentimentos")</f>
        <v>sentimentos</v>
      </c>
      <c r="T704" s="18" t="str">
        <f>IFERROR(__xludf.DUMMYFUNCTION("""COMPUTED_VALUE"""),"em")</f>
        <v>em</v>
      </c>
      <c r="U704" s="18" t="str">
        <f>IFERROR(__xludf.DUMMYFUNCTION("""COMPUTED_VALUE"""),"comentários")</f>
        <v>comentários</v>
      </c>
      <c r="V704" s="18" t="str">
        <f>IFERROR(__xludf.DUMMYFUNCTION("""COMPUTED_VALUE"""),"da")</f>
        <v>da</v>
      </c>
      <c r="W704" s="18" t="str">
        <f>IFERROR(__xludf.DUMMYFUNCTION("""COMPUTED_VALUE"""),"Rede")</f>
        <v>Rede</v>
      </c>
      <c r="X704" s="18" t="str">
        <f>IFERROR(__xludf.DUMMYFUNCTION("""COMPUTED_VALUE"""),"Humaniza")</f>
        <v>Humaniza</v>
      </c>
      <c r="Y704" s="18" t="str">
        <f>IFERROR(__xludf.DUMMYFUNCTION("""COMPUTED_VALUE"""),"SUS")</f>
        <v>SUS</v>
      </c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</row>
    <row r="705">
      <c r="A705" s="22"/>
      <c r="B705" s="23"/>
      <c r="C705" s="24"/>
      <c r="D705" s="24"/>
      <c r="E705" s="18"/>
      <c r="F705" s="18"/>
      <c r="G705" s="25">
        <f t="shared" ref="G705:I705" si="588">G704</f>
        <v>2018</v>
      </c>
      <c r="H705" s="20" t="str">
        <f t="shared" si="588"/>
        <v>adsise2018</v>
      </c>
      <c r="I705" s="20" t="str">
        <f t="shared" si="588"/>
        <v>Análise de sentimentos: Identificando sentimentos em comentários da Rede Humaniza SUS</v>
      </c>
      <c r="J705" s="20" t="str">
        <f t="shared" si="2"/>
        <v>Análise de Sentimentos</v>
      </c>
      <c r="K705" s="20"/>
      <c r="L705" s="20" t="str">
        <f t="shared" si="3"/>
        <v>análise de sentimentos</v>
      </c>
      <c r="M705" s="18"/>
      <c r="N705" s="21" t="str">
        <f>IFERROR(__xludf.DUMMYFUNCTION("""COMPUTED_VALUE""")," Análise de Sentimentos")</f>
        <v> Análise de Sentimentos</v>
      </c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</row>
    <row r="706">
      <c r="A706" s="22"/>
      <c r="B706" s="23"/>
      <c r="C706" s="24"/>
      <c r="D706" s="24"/>
      <c r="E706" s="18"/>
      <c r="F706" s="18"/>
      <c r="G706" s="25">
        <f t="shared" ref="G706:I706" si="589">G705</f>
        <v>2018</v>
      </c>
      <c r="H706" s="20" t="str">
        <f t="shared" si="589"/>
        <v>adsise2018</v>
      </c>
      <c r="I706" s="20" t="str">
        <f t="shared" si="589"/>
        <v>Análise de sentimentos: Identificando sentimentos em comentários da Rede Humaniza SUS</v>
      </c>
      <c r="J706" s="20" t="str">
        <f t="shared" si="2"/>
        <v>Léxico de Sentimentos</v>
      </c>
      <c r="K706" s="20"/>
      <c r="L706" s="20" t="str">
        <f t="shared" si="3"/>
        <v>léxico de sentimentos</v>
      </c>
      <c r="M706" s="18"/>
      <c r="N706" s="21" t="str">
        <f>IFERROR(__xludf.DUMMYFUNCTION("""COMPUTED_VALUE""")," Léxico de Sentimentos")</f>
        <v> Léxico de Sentimentos</v>
      </c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</row>
    <row r="707">
      <c r="A707" s="22"/>
      <c r="B707" s="23"/>
      <c r="C707" s="24"/>
      <c r="D707" s="24"/>
      <c r="E707" s="18"/>
      <c r="F707" s="18"/>
      <c r="G707" s="25">
        <f t="shared" ref="G707:I707" si="590">G706</f>
        <v>2018</v>
      </c>
      <c r="H707" s="20" t="str">
        <f t="shared" si="590"/>
        <v>adsise2018</v>
      </c>
      <c r="I707" s="20" t="str">
        <f t="shared" si="590"/>
        <v>Análise de sentimentos: Identificando sentimentos em comentários da Rede Humaniza SUS</v>
      </c>
      <c r="J707" s="20" t="str">
        <f t="shared" si="2"/>
        <v>Processamento de Linguagem Natural</v>
      </c>
      <c r="K707" s="20"/>
      <c r="L707" s="20" t="str">
        <f t="shared" si="3"/>
        <v>processamento de linguagem natural</v>
      </c>
      <c r="M707" s="18"/>
      <c r="N707" s="21" t="str">
        <f>IFERROR(__xludf.DUMMYFUNCTION("""COMPUTED_VALUE"""),"Processamento de Linguagem Natural")</f>
        <v>Processamento de Linguagem Natural</v>
      </c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</row>
    <row r="708">
      <c r="A708" s="22"/>
      <c r="B708" s="23"/>
      <c r="C708" s="24"/>
      <c r="D708" s="24"/>
      <c r="E708" s="18"/>
      <c r="F708" s="18"/>
      <c r="G708" s="25">
        <f t="shared" ref="G708:I708" si="591">G707</f>
        <v>2018</v>
      </c>
      <c r="H708" s="20" t="str">
        <f t="shared" si="591"/>
        <v>adsise2018</v>
      </c>
      <c r="I708" s="20" t="str">
        <f t="shared" si="591"/>
        <v>Análise de sentimentos: Identificando sentimentos em comentários da Rede Humaniza SUS</v>
      </c>
      <c r="J708" s="20" t="str">
        <f t="shared" si="2"/>
        <v/>
      </c>
      <c r="K708" s="20"/>
      <c r="L708" s="20" t="str">
        <f t="shared" si="3"/>
        <v/>
      </c>
      <c r="M708" s="18"/>
      <c r="N708" s="21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</row>
    <row r="709">
      <c r="A709" s="8"/>
      <c r="B709" s="23"/>
      <c r="C709" s="24"/>
      <c r="D709" s="24"/>
      <c r="E709" s="18"/>
      <c r="F709" s="18"/>
      <c r="G709" s="25">
        <f t="shared" ref="G709:I709" si="592">G708</f>
        <v>2018</v>
      </c>
      <c r="H709" s="20" t="str">
        <f t="shared" si="592"/>
        <v>adsise2018</v>
      </c>
      <c r="I709" s="20" t="str">
        <f t="shared" si="592"/>
        <v>Análise de sentimentos: Identificando sentimentos em comentários da Rede Humaniza SUS</v>
      </c>
      <c r="J709" s="20" t="str">
        <f t="shared" si="2"/>
        <v/>
      </c>
      <c r="K709" s="20"/>
      <c r="L709" s="20" t="str">
        <f t="shared" si="3"/>
        <v/>
      </c>
      <c r="M709" s="18"/>
      <c r="N709" s="21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</row>
    <row r="710">
      <c r="A710" s="8" t="s">
        <v>54</v>
      </c>
      <c r="B710" s="9">
        <v>2018.0</v>
      </c>
      <c r="C710" s="10" t="s">
        <v>290</v>
      </c>
      <c r="D710" s="10" t="s">
        <v>291</v>
      </c>
      <c r="E710" s="18"/>
      <c r="F710" s="18"/>
      <c r="G710" s="12">
        <f>B710</f>
        <v>2018</v>
      </c>
      <c r="H710" s="13" t="str">
        <f>LOWER(left(O710,1)&amp;left(P710,1)&amp;left(Q710,1)&amp;left(R710,1)&amp;left(S710,1)&amp;left(T710,1))&amp;G710</f>
        <v>adrepe2018</v>
      </c>
      <c r="I710" s="20" t="str">
        <f>trim(C710)</f>
        <v>Análise da relação entre perfil e desempenho acadêmico dos alunos matriculados na Disciplina de Introdução à Programação utilizando algoritmos de classificação</v>
      </c>
      <c r="J710" s="20" t="str">
        <f t="shared" si="2"/>
        <v>programação</v>
      </c>
      <c r="K710" s="20"/>
      <c r="L710" s="20" t="str">
        <f t="shared" si="3"/>
        <v>programação</v>
      </c>
      <c r="M710" s="18"/>
      <c r="N710" s="21" t="str">
        <f>IFERROR(__xludf.DUMMYFUNCTION("TRANSPOSE(split(D710,"";"",true,true))"),"programação")</f>
        <v>programação</v>
      </c>
      <c r="O710" s="6" t="str">
        <f>IFERROR(__xludf.DUMMYFUNCTION("split(C710,"" "")"),"Análise")</f>
        <v>Análise</v>
      </c>
      <c r="P710" s="18" t="str">
        <f>IFERROR(__xludf.DUMMYFUNCTION("""COMPUTED_VALUE"""),"da")</f>
        <v>da</v>
      </c>
      <c r="Q710" s="18" t="str">
        <f>IFERROR(__xludf.DUMMYFUNCTION("""COMPUTED_VALUE"""),"relação")</f>
        <v>relação</v>
      </c>
      <c r="R710" s="18" t="str">
        <f>IFERROR(__xludf.DUMMYFUNCTION("""COMPUTED_VALUE"""),"entre")</f>
        <v>entre</v>
      </c>
      <c r="S710" s="18" t="str">
        <f>IFERROR(__xludf.DUMMYFUNCTION("""COMPUTED_VALUE"""),"perfil")</f>
        <v>perfil</v>
      </c>
      <c r="T710" s="18" t="str">
        <f>IFERROR(__xludf.DUMMYFUNCTION("""COMPUTED_VALUE"""),"e")</f>
        <v>e</v>
      </c>
      <c r="U710" s="18" t="str">
        <f>IFERROR(__xludf.DUMMYFUNCTION("""COMPUTED_VALUE"""),"desempenho")</f>
        <v>desempenho</v>
      </c>
      <c r="V710" s="18" t="str">
        <f>IFERROR(__xludf.DUMMYFUNCTION("""COMPUTED_VALUE"""),"acadêmico")</f>
        <v>acadêmico</v>
      </c>
      <c r="W710" s="18" t="str">
        <f>IFERROR(__xludf.DUMMYFUNCTION("""COMPUTED_VALUE"""),"dos")</f>
        <v>dos</v>
      </c>
      <c r="X710" s="18" t="str">
        <f>IFERROR(__xludf.DUMMYFUNCTION("""COMPUTED_VALUE"""),"alunos")</f>
        <v>alunos</v>
      </c>
      <c r="Y710" s="18" t="str">
        <f>IFERROR(__xludf.DUMMYFUNCTION("""COMPUTED_VALUE"""),"matriculados")</f>
        <v>matriculados</v>
      </c>
      <c r="Z710" s="18" t="str">
        <f>IFERROR(__xludf.DUMMYFUNCTION("""COMPUTED_VALUE"""),"na")</f>
        <v>na</v>
      </c>
      <c r="AA710" s="18" t="str">
        <f>IFERROR(__xludf.DUMMYFUNCTION("""COMPUTED_VALUE"""),"Disciplina")</f>
        <v>Disciplina</v>
      </c>
      <c r="AB710" s="18" t="str">
        <f>IFERROR(__xludf.DUMMYFUNCTION("""COMPUTED_VALUE"""),"de")</f>
        <v>de</v>
      </c>
      <c r="AC710" s="18" t="str">
        <f>IFERROR(__xludf.DUMMYFUNCTION("""COMPUTED_VALUE"""),"Introdução")</f>
        <v>Introdução</v>
      </c>
      <c r="AD710" s="18" t="str">
        <f>IFERROR(__xludf.DUMMYFUNCTION("""COMPUTED_VALUE"""),"à")</f>
        <v>à</v>
      </c>
      <c r="AE710" s="18" t="str">
        <f>IFERROR(__xludf.DUMMYFUNCTION("""COMPUTED_VALUE"""),"Programação")</f>
        <v>Programação</v>
      </c>
      <c r="AF710" s="18" t="str">
        <f>IFERROR(__xludf.DUMMYFUNCTION("""COMPUTED_VALUE"""),"utilizando")</f>
        <v>utilizando</v>
      </c>
      <c r="AG710" s="18" t="str">
        <f>IFERROR(__xludf.DUMMYFUNCTION("""COMPUTED_VALUE"""),"algoritmos")</f>
        <v>algoritmos</v>
      </c>
      <c r="AH710" s="18" t="str">
        <f>IFERROR(__xludf.DUMMYFUNCTION("""COMPUTED_VALUE"""),"de")</f>
        <v>de</v>
      </c>
      <c r="AI710" s="18" t="str">
        <f>IFERROR(__xludf.DUMMYFUNCTION("""COMPUTED_VALUE"""),"classificação")</f>
        <v>classificação</v>
      </c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</row>
    <row r="711">
      <c r="A711" s="22"/>
      <c r="B711" s="23"/>
      <c r="C711" s="24"/>
      <c r="D711" s="24"/>
      <c r="E711" s="18"/>
      <c r="F711" s="18"/>
      <c r="G711" s="25">
        <f t="shared" ref="G711:I711" si="593">G710</f>
        <v>2018</v>
      </c>
      <c r="H711" s="20" t="str">
        <f t="shared" si="593"/>
        <v>adrepe2018</v>
      </c>
      <c r="I711" s="20" t="str">
        <f t="shared" si="593"/>
        <v>Análise da relação entre perfil e desempenho acadêmico dos alunos matriculados na Disciplina de Introdução à Programação utilizando algoritmos de classificação</v>
      </c>
      <c r="J711" s="20" t="str">
        <f t="shared" si="2"/>
        <v>evasão</v>
      </c>
      <c r="K711" s="20"/>
      <c r="L711" s="20" t="str">
        <f t="shared" si="3"/>
        <v>evasão</v>
      </c>
      <c r="M711" s="18"/>
      <c r="N711" s="21" t="str">
        <f>IFERROR(__xludf.DUMMYFUNCTION("""COMPUTED_VALUE""")," evasão")</f>
        <v> evasão</v>
      </c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</row>
    <row r="712">
      <c r="A712" s="22"/>
      <c r="B712" s="23"/>
      <c r="C712" s="24"/>
      <c r="D712" s="24"/>
      <c r="E712" s="18"/>
      <c r="F712" s="18"/>
      <c r="G712" s="25">
        <f t="shared" ref="G712:I712" si="594">G711</f>
        <v>2018</v>
      </c>
      <c r="H712" s="20" t="str">
        <f t="shared" si="594"/>
        <v>adrepe2018</v>
      </c>
      <c r="I712" s="20" t="str">
        <f t="shared" si="594"/>
        <v>Análise da relação entre perfil e desempenho acadêmico dos alunos matriculados na Disciplina de Introdução à Programação utilizando algoritmos de classificação</v>
      </c>
      <c r="J712" s="20" t="str">
        <f t="shared" si="2"/>
        <v>reprovação</v>
      </c>
      <c r="K712" s="20"/>
      <c r="L712" s="20" t="str">
        <f t="shared" si="3"/>
        <v>reprovação</v>
      </c>
      <c r="M712" s="18"/>
      <c r="N712" s="21" t="str">
        <f>IFERROR(__xludf.DUMMYFUNCTION("""COMPUTED_VALUE""")," reprovação")</f>
        <v> reprovação</v>
      </c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</row>
    <row r="713">
      <c r="A713" s="22"/>
      <c r="B713" s="23"/>
      <c r="C713" s="24"/>
      <c r="D713" s="24"/>
      <c r="E713" s="18"/>
      <c r="F713" s="18"/>
      <c r="G713" s="25">
        <f t="shared" ref="G713:I713" si="595">G712</f>
        <v>2018</v>
      </c>
      <c r="H713" s="20" t="str">
        <f t="shared" si="595"/>
        <v>adrepe2018</v>
      </c>
      <c r="I713" s="20" t="str">
        <f t="shared" si="595"/>
        <v>Análise da relação entre perfil e desempenho acadêmico dos alunos matriculados na Disciplina de Introdução à Programação utilizando algoritmos de classificação</v>
      </c>
      <c r="J713" s="20" t="str">
        <f t="shared" si="2"/>
        <v>mineração de dados</v>
      </c>
      <c r="K713" s="20"/>
      <c r="L713" s="20" t="str">
        <f t="shared" si="3"/>
        <v>mineração de dados</v>
      </c>
      <c r="M713" s="18"/>
      <c r="N713" s="21" t="str">
        <f>IFERROR(__xludf.DUMMYFUNCTION("""COMPUTED_VALUE""")," mineração de dados")</f>
        <v> mineração de dados</v>
      </c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</row>
    <row r="714">
      <c r="A714" s="22"/>
      <c r="B714" s="23"/>
      <c r="C714" s="24"/>
      <c r="D714" s="24"/>
      <c r="E714" s="18"/>
      <c r="F714" s="18"/>
      <c r="G714" s="25">
        <f t="shared" ref="G714:I714" si="596">G713</f>
        <v>2018</v>
      </c>
      <c r="H714" s="20" t="str">
        <f t="shared" si="596"/>
        <v>adrepe2018</v>
      </c>
      <c r="I714" s="20" t="str">
        <f t="shared" si="596"/>
        <v>Análise da relação entre perfil e desempenho acadêmico dos alunos matriculados na Disciplina de Introdução à Programação utilizando algoritmos de classificação</v>
      </c>
      <c r="J714" s="20" t="str">
        <f t="shared" si="2"/>
        <v/>
      </c>
      <c r="K714" s="20"/>
      <c r="L714" s="20" t="str">
        <f t="shared" si="3"/>
        <v/>
      </c>
      <c r="M714" s="18"/>
      <c r="N714" s="21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</row>
    <row r="715">
      <c r="A715" s="8"/>
      <c r="B715" s="23"/>
      <c r="C715" s="24"/>
      <c r="D715" s="24"/>
      <c r="E715" s="18"/>
      <c r="F715" s="18"/>
      <c r="G715" s="25">
        <f t="shared" ref="G715:I715" si="597">G714</f>
        <v>2018</v>
      </c>
      <c r="H715" s="20" t="str">
        <f t="shared" si="597"/>
        <v>adrepe2018</v>
      </c>
      <c r="I715" s="20" t="str">
        <f t="shared" si="597"/>
        <v>Análise da relação entre perfil e desempenho acadêmico dos alunos matriculados na Disciplina de Introdução à Programação utilizando algoritmos de classificação</v>
      </c>
      <c r="J715" s="20" t="str">
        <f t="shared" si="2"/>
        <v/>
      </c>
      <c r="K715" s="20"/>
      <c r="L715" s="20" t="str">
        <f t="shared" si="3"/>
        <v/>
      </c>
      <c r="M715" s="18"/>
      <c r="N715" s="21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</row>
    <row r="716">
      <c r="A716" s="8" t="s">
        <v>54</v>
      </c>
      <c r="B716" s="9">
        <v>2018.0</v>
      </c>
      <c r="C716" s="10" t="s">
        <v>292</v>
      </c>
      <c r="D716" s="10" t="s">
        <v>293</v>
      </c>
      <c r="E716" s="18"/>
      <c r="F716" s="18"/>
      <c r="G716" s="12">
        <f>B716</f>
        <v>2018</v>
      </c>
      <c r="H716" s="13" t="str">
        <f>LOWER(left(O716,1)&amp;left(P716,1)&amp;left(Q716,1)&amp;left(R716,1)&amp;left(S716,1)&amp;left(T716,1))&amp;G716</f>
        <v>acddàl2018</v>
      </c>
      <c r="I716" s="20" t="str">
        <f>trim(C716)</f>
        <v>A Ciência de Dados à luz da Ciência do Senso Comum Aristotélico: uma análise comparativa com a tecnologia sensorial</v>
      </c>
      <c r="J716" s="20" t="str">
        <f t="shared" si="2"/>
        <v>Ciência de dados</v>
      </c>
      <c r="K716" s="20"/>
      <c r="L716" s="20" t="str">
        <f t="shared" si="3"/>
        <v>ciência de dados</v>
      </c>
      <c r="M716" s="18"/>
      <c r="N716" s="21" t="str">
        <f>IFERROR(__xludf.DUMMYFUNCTION("TRANSPOSE(split(D716,"";"",true,true))"),"Ciência de dados")</f>
        <v>Ciência de dados</v>
      </c>
      <c r="O716" s="6" t="str">
        <f>IFERROR(__xludf.DUMMYFUNCTION("split(C716,"" "")"),"A")</f>
        <v>A</v>
      </c>
      <c r="P716" s="18" t="str">
        <f>IFERROR(__xludf.DUMMYFUNCTION("""COMPUTED_VALUE"""),"Ciência")</f>
        <v>Ciência</v>
      </c>
      <c r="Q716" s="18" t="str">
        <f>IFERROR(__xludf.DUMMYFUNCTION("""COMPUTED_VALUE"""),"de")</f>
        <v>de</v>
      </c>
      <c r="R716" s="18" t="str">
        <f>IFERROR(__xludf.DUMMYFUNCTION("""COMPUTED_VALUE"""),"Dados")</f>
        <v>Dados</v>
      </c>
      <c r="S716" s="18" t="str">
        <f>IFERROR(__xludf.DUMMYFUNCTION("""COMPUTED_VALUE"""),"à")</f>
        <v>à</v>
      </c>
      <c r="T716" s="18" t="str">
        <f>IFERROR(__xludf.DUMMYFUNCTION("""COMPUTED_VALUE"""),"luz")</f>
        <v>luz</v>
      </c>
      <c r="U716" s="18" t="str">
        <f>IFERROR(__xludf.DUMMYFUNCTION("""COMPUTED_VALUE"""),"da")</f>
        <v>da</v>
      </c>
      <c r="V716" s="18" t="str">
        <f>IFERROR(__xludf.DUMMYFUNCTION("""COMPUTED_VALUE"""),"Ciência")</f>
        <v>Ciência</v>
      </c>
      <c r="W716" s="18" t="str">
        <f>IFERROR(__xludf.DUMMYFUNCTION("""COMPUTED_VALUE"""),"do")</f>
        <v>do</v>
      </c>
      <c r="X716" s="18" t="str">
        <f>IFERROR(__xludf.DUMMYFUNCTION("""COMPUTED_VALUE"""),"Senso")</f>
        <v>Senso</v>
      </c>
      <c r="Y716" s="18" t="str">
        <f>IFERROR(__xludf.DUMMYFUNCTION("""COMPUTED_VALUE"""),"Comum")</f>
        <v>Comum</v>
      </c>
      <c r="Z716" s="18" t="str">
        <f>IFERROR(__xludf.DUMMYFUNCTION("""COMPUTED_VALUE"""),"Aristotélico:")</f>
        <v>Aristotélico:</v>
      </c>
      <c r="AA716" s="18" t="str">
        <f>IFERROR(__xludf.DUMMYFUNCTION("""COMPUTED_VALUE"""),"uma")</f>
        <v>uma</v>
      </c>
      <c r="AB716" s="18" t="str">
        <f>IFERROR(__xludf.DUMMYFUNCTION("""COMPUTED_VALUE"""),"análise")</f>
        <v>análise</v>
      </c>
      <c r="AC716" s="18" t="str">
        <f>IFERROR(__xludf.DUMMYFUNCTION("""COMPUTED_VALUE"""),"comparativa")</f>
        <v>comparativa</v>
      </c>
      <c r="AD716" s="18" t="str">
        <f>IFERROR(__xludf.DUMMYFUNCTION("""COMPUTED_VALUE"""),"com")</f>
        <v>com</v>
      </c>
      <c r="AE716" s="18" t="str">
        <f>IFERROR(__xludf.DUMMYFUNCTION("""COMPUTED_VALUE"""),"a")</f>
        <v>a</v>
      </c>
      <c r="AF716" s="18" t="str">
        <f>IFERROR(__xludf.DUMMYFUNCTION("""COMPUTED_VALUE"""),"tecnologia")</f>
        <v>tecnologia</v>
      </c>
      <c r="AG716" s="18" t="str">
        <f>IFERROR(__xludf.DUMMYFUNCTION("""COMPUTED_VALUE"""),"sensorial")</f>
        <v>sensorial</v>
      </c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</row>
    <row r="717">
      <c r="A717" s="22"/>
      <c r="B717" s="23"/>
      <c r="C717" s="24"/>
      <c r="D717" s="24"/>
      <c r="E717" s="18"/>
      <c r="F717" s="18"/>
      <c r="G717" s="25">
        <f t="shared" ref="G717:I717" si="598">G716</f>
        <v>2018</v>
      </c>
      <c r="H717" s="20" t="str">
        <f t="shared" si="598"/>
        <v>acddàl2018</v>
      </c>
      <c r="I717" s="20" t="str">
        <f t="shared" si="598"/>
        <v>A Ciência de Dados à luz da Ciência do Senso Comum Aristotélico: uma análise comparativa com a tecnologia sensorial</v>
      </c>
      <c r="J717" s="20" t="str">
        <f t="shared" si="2"/>
        <v>Filosofia</v>
      </c>
      <c r="K717" s="20"/>
      <c r="L717" s="20" t="str">
        <f t="shared" si="3"/>
        <v>filosofia</v>
      </c>
      <c r="M717" s="18"/>
      <c r="N717" s="21" t="str">
        <f>IFERROR(__xludf.DUMMYFUNCTION("""COMPUTED_VALUE"""),"  Filosofia")</f>
        <v>  Filosofia</v>
      </c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</row>
    <row r="718">
      <c r="A718" s="22"/>
      <c r="B718" s="23"/>
      <c r="C718" s="24"/>
      <c r="D718" s="24"/>
      <c r="E718" s="18"/>
      <c r="F718" s="18"/>
      <c r="G718" s="25">
        <f t="shared" ref="G718:I718" si="599">G717</f>
        <v>2018</v>
      </c>
      <c r="H718" s="20" t="str">
        <f t="shared" si="599"/>
        <v>acddàl2018</v>
      </c>
      <c r="I718" s="20" t="str">
        <f t="shared" si="599"/>
        <v>A Ciência de Dados à luz da Ciência do Senso Comum Aristotélico: uma análise comparativa com a tecnologia sensorial</v>
      </c>
      <c r="J718" s="20" t="str">
        <f t="shared" si="2"/>
        <v>Tecnologia sensorial</v>
      </c>
      <c r="K718" s="20"/>
      <c r="L718" s="20" t="str">
        <f t="shared" si="3"/>
        <v>tecnologia sensorial</v>
      </c>
      <c r="M718" s="18"/>
      <c r="N718" s="21" t="str">
        <f>IFERROR(__xludf.DUMMYFUNCTION("""COMPUTED_VALUE"""),"  Tecnologia sensorial")</f>
        <v>  Tecnologia sensorial</v>
      </c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</row>
    <row r="719">
      <c r="A719" s="22"/>
      <c r="B719" s="23"/>
      <c r="C719" s="24"/>
      <c r="D719" s="24"/>
      <c r="E719" s="18"/>
      <c r="F719" s="18"/>
      <c r="G719" s="25">
        <f t="shared" ref="G719:I719" si="600">G718</f>
        <v>2018</v>
      </c>
      <c r="H719" s="20" t="str">
        <f t="shared" si="600"/>
        <v>acddàl2018</v>
      </c>
      <c r="I719" s="20" t="str">
        <f t="shared" si="600"/>
        <v>A Ciência de Dados à luz da Ciência do Senso Comum Aristotélico: uma análise comparativa com a tecnologia sensorial</v>
      </c>
      <c r="J719" s="20" t="str">
        <f t="shared" si="2"/>
        <v/>
      </c>
      <c r="K719" s="20"/>
      <c r="L719" s="20" t="str">
        <f t="shared" si="3"/>
        <v/>
      </c>
      <c r="M719" s="18"/>
      <c r="N719" s="21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</row>
    <row r="720">
      <c r="A720" s="22"/>
      <c r="B720" s="23"/>
      <c r="C720" s="24"/>
      <c r="D720" s="24"/>
      <c r="E720" s="18"/>
      <c r="F720" s="18"/>
      <c r="G720" s="25">
        <f t="shared" ref="G720:I720" si="601">G719</f>
        <v>2018</v>
      </c>
      <c r="H720" s="20" t="str">
        <f t="shared" si="601"/>
        <v>acddàl2018</v>
      </c>
      <c r="I720" s="20" t="str">
        <f t="shared" si="601"/>
        <v>A Ciência de Dados à luz da Ciência do Senso Comum Aristotélico: uma análise comparativa com a tecnologia sensorial</v>
      </c>
      <c r="J720" s="20" t="str">
        <f t="shared" si="2"/>
        <v/>
      </c>
      <c r="K720" s="20"/>
      <c r="L720" s="20" t="str">
        <f t="shared" si="3"/>
        <v/>
      </c>
      <c r="M720" s="18"/>
      <c r="N720" s="21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</row>
    <row r="721">
      <c r="A721" s="8"/>
      <c r="B721" s="23"/>
      <c r="C721" s="24"/>
      <c r="D721" s="24"/>
      <c r="E721" s="18"/>
      <c r="F721" s="18"/>
      <c r="G721" s="25">
        <f t="shared" ref="G721:I721" si="602">G720</f>
        <v>2018</v>
      </c>
      <c r="H721" s="20" t="str">
        <f t="shared" si="602"/>
        <v>acddàl2018</v>
      </c>
      <c r="I721" s="20" t="str">
        <f t="shared" si="602"/>
        <v>A Ciência de Dados à luz da Ciência do Senso Comum Aristotélico: uma análise comparativa com a tecnologia sensorial</v>
      </c>
      <c r="J721" s="20" t="str">
        <f t="shared" si="2"/>
        <v/>
      </c>
      <c r="K721" s="20"/>
      <c r="L721" s="20" t="str">
        <f t="shared" si="3"/>
        <v/>
      </c>
      <c r="M721" s="18"/>
      <c r="N721" s="21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</row>
    <row r="722">
      <c r="A722" s="8" t="s">
        <v>54</v>
      </c>
      <c r="B722" s="9">
        <v>2018.0</v>
      </c>
      <c r="C722" s="10" t="s">
        <v>294</v>
      </c>
      <c r="D722" s="10" t="s">
        <v>295</v>
      </c>
      <c r="E722" s="18"/>
      <c r="F722" s="18"/>
      <c r="G722" s="12">
        <f>B722</f>
        <v>2018</v>
      </c>
      <c r="H722" s="13" t="str">
        <f>LOWER(left(O722,1)&amp;left(P722,1)&amp;left(Q722,1)&amp;left(R722,1)&amp;left(S722,1)&amp;left(T722,1))&amp;G722</f>
        <v>adcdvd2018</v>
      </c>
      <c r="I722" s="20" t="str">
        <f>trim(C722)</f>
        <v>Aspectos do ciclo de vida de dados em processos de construção de ontologias biomédicas</v>
      </c>
      <c r="J722" s="20" t="str">
        <f t="shared" si="2"/>
        <v>Ontologias biomédicas</v>
      </c>
      <c r="K722" s="20"/>
      <c r="L722" s="20" t="str">
        <f t="shared" si="3"/>
        <v>ontologias biomédicas</v>
      </c>
      <c r="M722" s="18"/>
      <c r="N722" s="21" t="str">
        <f>IFERROR(__xludf.DUMMYFUNCTION("TRANSPOSE(split(D722,"";"",true,true))"),"Ontologias biomédicas")</f>
        <v>Ontologias biomédicas</v>
      </c>
      <c r="O722" s="6" t="str">
        <f>IFERROR(__xludf.DUMMYFUNCTION("split(C722,"" "")"),"Aspectos")</f>
        <v>Aspectos</v>
      </c>
      <c r="P722" s="18" t="str">
        <f>IFERROR(__xludf.DUMMYFUNCTION("""COMPUTED_VALUE"""),"do")</f>
        <v>do</v>
      </c>
      <c r="Q722" s="18" t="str">
        <f>IFERROR(__xludf.DUMMYFUNCTION("""COMPUTED_VALUE"""),"ciclo")</f>
        <v>ciclo</v>
      </c>
      <c r="R722" s="18" t="str">
        <f>IFERROR(__xludf.DUMMYFUNCTION("""COMPUTED_VALUE"""),"de")</f>
        <v>de</v>
      </c>
      <c r="S722" s="18" t="str">
        <f>IFERROR(__xludf.DUMMYFUNCTION("""COMPUTED_VALUE"""),"vida")</f>
        <v>vida</v>
      </c>
      <c r="T722" s="18" t="str">
        <f>IFERROR(__xludf.DUMMYFUNCTION("""COMPUTED_VALUE"""),"de")</f>
        <v>de</v>
      </c>
      <c r="U722" s="18" t="str">
        <f>IFERROR(__xludf.DUMMYFUNCTION("""COMPUTED_VALUE"""),"dados")</f>
        <v>dados</v>
      </c>
      <c r="V722" s="18" t="str">
        <f>IFERROR(__xludf.DUMMYFUNCTION("""COMPUTED_VALUE"""),"em")</f>
        <v>em</v>
      </c>
      <c r="W722" s="18" t="str">
        <f>IFERROR(__xludf.DUMMYFUNCTION("""COMPUTED_VALUE"""),"processos")</f>
        <v>processos</v>
      </c>
      <c r="X722" s="18" t="str">
        <f>IFERROR(__xludf.DUMMYFUNCTION("""COMPUTED_VALUE"""),"de")</f>
        <v>de</v>
      </c>
      <c r="Y722" s="18" t="str">
        <f>IFERROR(__xludf.DUMMYFUNCTION("""COMPUTED_VALUE"""),"construção")</f>
        <v>construção</v>
      </c>
      <c r="Z722" s="18" t="str">
        <f>IFERROR(__xludf.DUMMYFUNCTION("""COMPUTED_VALUE"""),"de")</f>
        <v>de</v>
      </c>
      <c r="AA722" s="18" t="str">
        <f>IFERROR(__xludf.DUMMYFUNCTION("""COMPUTED_VALUE"""),"ontologias")</f>
        <v>ontologias</v>
      </c>
      <c r="AB722" s="18" t="str">
        <f>IFERROR(__xludf.DUMMYFUNCTION("""COMPUTED_VALUE"""),"biomédicas")</f>
        <v>biomédicas</v>
      </c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</row>
    <row r="723">
      <c r="A723" s="22"/>
      <c r="B723" s="23"/>
      <c r="C723" s="24"/>
      <c r="D723" s="24"/>
      <c r="E723" s="18"/>
      <c r="F723" s="18"/>
      <c r="G723" s="25">
        <f t="shared" ref="G723:I723" si="603">G722</f>
        <v>2018</v>
      </c>
      <c r="H723" s="20" t="str">
        <f t="shared" si="603"/>
        <v>adcdvd2018</v>
      </c>
      <c r="I723" s="20" t="str">
        <f t="shared" si="603"/>
        <v>Aspectos do ciclo de vida de dados em processos de construção de ontologias biomédicas</v>
      </c>
      <c r="J723" s="20" t="str">
        <f t="shared" si="2"/>
        <v>ciclo de vida de dados</v>
      </c>
      <c r="K723" s="20"/>
      <c r="L723" s="20" t="str">
        <f t="shared" si="3"/>
        <v>ciclo de vida de dados</v>
      </c>
      <c r="M723" s="18"/>
      <c r="N723" s="21" t="str">
        <f>IFERROR(__xludf.DUMMYFUNCTION("""COMPUTED_VALUE""")," ciclo de vida de dados")</f>
        <v> ciclo de vida de dados</v>
      </c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</row>
    <row r="724">
      <c r="A724" s="22"/>
      <c r="B724" s="23"/>
      <c r="C724" s="24"/>
      <c r="D724" s="24"/>
      <c r="E724" s="18"/>
      <c r="F724" s="18"/>
      <c r="G724" s="25">
        <f t="shared" ref="G724:I724" si="604">G723</f>
        <v>2018</v>
      </c>
      <c r="H724" s="20" t="str">
        <f t="shared" si="604"/>
        <v>adcdvd2018</v>
      </c>
      <c r="I724" s="20" t="str">
        <f t="shared" si="604"/>
        <v>Aspectos do ciclo de vida de dados em processos de construção de ontologias biomédicas</v>
      </c>
      <c r="J724" s="20" t="str">
        <f t="shared" si="2"/>
        <v>plano de gestão de dados</v>
      </c>
      <c r="K724" s="20"/>
      <c r="L724" s="20" t="str">
        <f t="shared" si="3"/>
        <v>plano de gestão de dados</v>
      </c>
      <c r="M724" s="18"/>
      <c r="N724" s="21" t="str">
        <f>IFERROR(__xludf.DUMMYFUNCTION("""COMPUTED_VALUE""")," plano de gestão de dados")</f>
        <v> plano de gestão de dados</v>
      </c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</row>
    <row r="725">
      <c r="A725" s="22"/>
      <c r="B725" s="23"/>
      <c r="C725" s="24"/>
      <c r="D725" s="24"/>
      <c r="E725" s="18"/>
      <c r="F725" s="18"/>
      <c r="G725" s="25">
        <f t="shared" ref="G725:I725" si="605">G724</f>
        <v>2018</v>
      </c>
      <c r="H725" s="20" t="str">
        <f t="shared" si="605"/>
        <v>adcdvd2018</v>
      </c>
      <c r="I725" s="20" t="str">
        <f t="shared" si="605"/>
        <v>Aspectos do ciclo de vida de dados em processos de construção de ontologias biomédicas</v>
      </c>
      <c r="J725" s="20" t="str">
        <f t="shared" si="2"/>
        <v>representação do conhecimento</v>
      </c>
      <c r="K725" s="20"/>
      <c r="L725" s="20" t="str">
        <f t="shared" si="3"/>
        <v>representação do conhecimento</v>
      </c>
      <c r="M725" s="18"/>
      <c r="N725" s="21" t="str">
        <f>IFERROR(__xludf.DUMMYFUNCTION("""COMPUTED_VALUE""")," representação  do conhecimento")</f>
        <v> representação  do conhecimento</v>
      </c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</row>
    <row r="726">
      <c r="A726" s="22"/>
      <c r="B726" s="23"/>
      <c r="C726" s="24"/>
      <c r="D726" s="24"/>
      <c r="E726" s="18"/>
      <c r="F726" s="18"/>
      <c r="G726" s="25">
        <f t="shared" ref="G726:I726" si="606">G725</f>
        <v>2018</v>
      </c>
      <c r="H726" s="20" t="str">
        <f t="shared" si="606"/>
        <v>adcdvd2018</v>
      </c>
      <c r="I726" s="20" t="str">
        <f t="shared" si="606"/>
        <v>Aspectos do ciclo de vida de dados em processos de construção de ontologias biomédicas</v>
      </c>
      <c r="J726" s="20" t="str">
        <f t="shared" si="2"/>
        <v/>
      </c>
      <c r="K726" s="20"/>
      <c r="L726" s="20" t="str">
        <f t="shared" si="3"/>
        <v/>
      </c>
      <c r="M726" s="18"/>
      <c r="N726" s="21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</row>
    <row r="727">
      <c r="A727" s="8"/>
      <c r="B727" s="23"/>
      <c r="C727" s="24"/>
      <c r="D727" s="24"/>
      <c r="E727" s="18"/>
      <c r="F727" s="18"/>
      <c r="G727" s="25">
        <f t="shared" ref="G727:I727" si="607">G726</f>
        <v>2018</v>
      </c>
      <c r="H727" s="20" t="str">
        <f t="shared" si="607"/>
        <v>adcdvd2018</v>
      </c>
      <c r="I727" s="20" t="str">
        <f t="shared" si="607"/>
        <v>Aspectos do ciclo de vida de dados em processos de construção de ontologias biomédicas</v>
      </c>
      <c r="J727" s="20" t="str">
        <f t="shared" si="2"/>
        <v/>
      </c>
      <c r="K727" s="20"/>
      <c r="L727" s="20" t="str">
        <f t="shared" si="3"/>
        <v/>
      </c>
      <c r="M727" s="18"/>
      <c r="N727" s="21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</row>
    <row r="728">
      <c r="A728" s="8" t="s">
        <v>54</v>
      </c>
      <c r="B728" s="9">
        <v>2018.0</v>
      </c>
      <c r="C728" s="10" t="s">
        <v>296</v>
      </c>
      <c r="D728" s="10" t="s">
        <v>297</v>
      </c>
      <c r="E728" s="18"/>
      <c r="F728" s="18"/>
      <c r="G728" s="12">
        <f>B728</f>
        <v>2018</v>
      </c>
      <c r="H728" s="13" t="str">
        <f>LOWER(left(O728,1)&amp;left(P728,1)&amp;left(Q728,1)&amp;left(R728,1)&amp;left(S728,1)&amp;left(T728,1))&amp;G728</f>
        <v>dfàpnb2018</v>
      </c>
      <c r="I728" s="20" t="str">
        <f>trim(C728)</f>
        <v>Direito fundamental à privacidade no Brasil: Tendências</v>
      </c>
      <c r="J728" s="20" t="str">
        <f t="shared" si="2"/>
        <v>privacidade</v>
      </c>
      <c r="K728" s="20"/>
      <c r="L728" s="20" t="str">
        <f t="shared" si="3"/>
        <v>privacidade</v>
      </c>
      <c r="M728" s="18"/>
      <c r="N728" s="21" t="str">
        <f>IFERROR(__xludf.DUMMYFUNCTION("TRANSPOSE(split(D728,"";"",true,true))"),"privacidade")</f>
        <v>privacidade</v>
      </c>
      <c r="O728" s="6" t="str">
        <f>IFERROR(__xludf.DUMMYFUNCTION("split(C728,"" "")"),"Direito")</f>
        <v>Direito</v>
      </c>
      <c r="P728" s="18" t="str">
        <f>IFERROR(__xludf.DUMMYFUNCTION("""COMPUTED_VALUE"""),"fundamental")</f>
        <v>fundamental</v>
      </c>
      <c r="Q728" s="18" t="str">
        <f>IFERROR(__xludf.DUMMYFUNCTION("""COMPUTED_VALUE"""),"à")</f>
        <v>à</v>
      </c>
      <c r="R728" s="18" t="str">
        <f>IFERROR(__xludf.DUMMYFUNCTION("""COMPUTED_VALUE"""),"privacidade")</f>
        <v>privacidade</v>
      </c>
      <c r="S728" s="18" t="str">
        <f>IFERROR(__xludf.DUMMYFUNCTION("""COMPUTED_VALUE"""),"no")</f>
        <v>no</v>
      </c>
      <c r="T728" s="18" t="str">
        <f>IFERROR(__xludf.DUMMYFUNCTION("""COMPUTED_VALUE"""),"Brasil:")</f>
        <v>Brasil:</v>
      </c>
      <c r="U728" s="18" t="str">
        <f>IFERROR(__xludf.DUMMYFUNCTION("""COMPUTED_VALUE"""),"Tendências")</f>
        <v>Tendências</v>
      </c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</row>
    <row r="729">
      <c r="A729" s="22"/>
      <c r="B729" s="23"/>
      <c r="C729" s="24"/>
      <c r="D729" s="24"/>
      <c r="E729" s="18"/>
      <c r="F729" s="18"/>
      <c r="G729" s="25">
        <f t="shared" ref="G729:I729" si="608">G728</f>
        <v>2018</v>
      </c>
      <c r="H729" s="20" t="str">
        <f t="shared" si="608"/>
        <v>dfàpnb2018</v>
      </c>
      <c r="I729" s="20" t="str">
        <f t="shared" si="608"/>
        <v>Direito fundamental à privacidade no Brasil: Tendências</v>
      </c>
      <c r="J729" s="20" t="str">
        <f t="shared" si="2"/>
        <v>liberdade de expressão</v>
      </c>
      <c r="K729" s="20"/>
      <c r="L729" s="20" t="str">
        <f t="shared" si="3"/>
        <v>liberdade de expressão</v>
      </c>
      <c r="M729" s="18"/>
      <c r="N729" s="21" t="str">
        <f>IFERROR(__xludf.DUMMYFUNCTION("""COMPUTED_VALUE""")," liberdade de expressão")</f>
        <v> liberdade de expressão</v>
      </c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</row>
    <row r="730">
      <c r="A730" s="22"/>
      <c r="B730" s="23"/>
      <c r="C730" s="24"/>
      <c r="D730" s="24"/>
      <c r="E730" s="18"/>
      <c r="F730" s="18"/>
      <c r="G730" s="25">
        <f t="shared" ref="G730:I730" si="609">G729</f>
        <v>2018</v>
      </c>
      <c r="H730" s="20" t="str">
        <f t="shared" si="609"/>
        <v>dfàpnb2018</v>
      </c>
      <c r="I730" s="20" t="str">
        <f t="shared" si="609"/>
        <v>Direito fundamental à privacidade no Brasil: Tendências</v>
      </c>
      <c r="J730" s="20" t="str">
        <f t="shared" si="2"/>
        <v>panoptismo</v>
      </c>
      <c r="K730" s="20"/>
      <c r="L730" s="20" t="str">
        <f t="shared" si="3"/>
        <v>panoptismo</v>
      </c>
      <c r="M730" s="18"/>
      <c r="N730" s="21" t="str">
        <f>IFERROR(__xludf.DUMMYFUNCTION("""COMPUTED_VALUE""")," panoptismo")</f>
        <v> panoptismo</v>
      </c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</row>
    <row r="731">
      <c r="A731" s="22"/>
      <c r="B731" s="23"/>
      <c r="C731" s="24"/>
      <c r="D731" s="24"/>
      <c r="E731" s="18"/>
      <c r="F731" s="18"/>
      <c r="G731" s="25">
        <f t="shared" ref="G731:I731" si="610">G730</f>
        <v>2018</v>
      </c>
      <c r="H731" s="20" t="str">
        <f t="shared" si="610"/>
        <v>dfàpnb2018</v>
      </c>
      <c r="I731" s="20" t="str">
        <f t="shared" si="610"/>
        <v>Direito fundamental à privacidade no Brasil: Tendências</v>
      </c>
      <c r="J731" s="20" t="str">
        <f t="shared" si="2"/>
        <v/>
      </c>
      <c r="K731" s="20"/>
      <c r="L731" s="20" t="str">
        <f t="shared" si="3"/>
        <v/>
      </c>
      <c r="M731" s="18"/>
      <c r="N731" s="21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</row>
    <row r="732">
      <c r="A732" s="22"/>
      <c r="B732" s="23"/>
      <c r="C732" s="24"/>
      <c r="D732" s="24"/>
      <c r="E732" s="18"/>
      <c r="F732" s="18"/>
      <c r="G732" s="25">
        <f t="shared" ref="G732:I732" si="611">G731</f>
        <v>2018</v>
      </c>
      <c r="H732" s="20" t="str">
        <f t="shared" si="611"/>
        <v>dfàpnb2018</v>
      </c>
      <c r="I732" s="20" t="str">
        <f t="shared" si="611"/>
        <v>Direito fundamental à privacidade no Brasil: Tendências</v>
      </c>
      <c r="J732" s="20" t="str">
        <f t="shared" si="2"/>
        <v/>
      </c>
      <c r="K732" s="20"/>
      <c r="L732" s="20" t="str">
        <f t="shared" si="3"/>
        <v/>
      </c>
      <c r="M732" s="18"/>
      <c r="N732" s="21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</row>
    <row r="733">
      <c r="A733" s="8"/>
      <c r="B733" s="23"/>
      <c r="C733" s="24"/>
      <c r="D733" s="24"/>
      <c r="E733" s="18"/>
      <c r="F733" s="18"/>
      <c r="G733" s="25">
        <f t="shared" ref="G733:I733" si="612">G732</f>
        <v>2018</v>
      </c>
      <c r="H733" s="20" t="str">
        <f t="shared" si="612"/>
        <v>dfàpnb2018</v>
      </c>
      <c r="I733" s="20" t="str">
        <f t="shared" si="612"/>
        <v>Direito fundamental à privacidade no Brasil: Tendências</v>
      </c>
      <c r="J733" s="20" t="str">
        <f t="shared" si="2"/>
        <v/>
      </c>
      <c r="K733" s="20"/>
      <c r="L733" s="20" t="str">
        <f t="shared" si="3"/>
        <v/>
      </c>
      <c r="M733" s="18"/>
      <c r="N733" s="21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</row>
    <row r="734">
      <c r="A734" s="8" t="s">
        <v>54</v>
      </c>
      <c r="B734" s="9">
        <v>2018.0</v>
      </c>
      <c r="C734" s="10" t="s">
        <v>298</v>
      </c>
      <c r="D734" s="10" t="s">
        <v>299</v>
      </c>
      <c r="E734" s="18"/>
      <c r="F734" s="18"/>
      <c r="G734" s="12">
        <f>B734</f>
        <v>2018</v>
      </c>
      <c r="H734" s="13" t="str">
        <f>LOWER(left(O734,1)&amp;left(P734,1)&amp;left(Q734,1)&amp;left(R734,1)&amp;left(S734,1)&amp;left(T734,1))&amp;G734</f>
        <v>iepnlg2018</v>
      </c>
      <c r="I734" s="20" t="str">
        <f>trim(C734)</f>
        <v>Informação e Privacidade na Lei Geral de Proteção de Dados</v>
      </c>
      <c r="J734" s="20" t="str">
        <f t="shared" si="2"/>
        <v>Informação</v>
      </c>
      <c r="K734" s="20"/>
      <c r="L734" s="20" t="str">
        <f t="shared" si="3"/>
        <v>informação</v>
      </c>
      <c r="M734" s="18"/>
      <c r="N734" s="21" t="str">
        <f>IFERROR(__xludf.DUMMYFUNCTION("TRANSPOSE(split(D734,"";"",true,true))"),"Informação")</f>
        <v>Informação</v>
      </c>
      <c r="O734" s="6" t="str">
        <f>IFERROR(__xludf.DUMMYFUNCTION("split(C734,"" "")"),"Informação")</f>
        <v>Informação</v>
      </c>
      <c r="P734" s="18" t="str">
        <f>IFERROR(__xludf.DUMMYFUNCTION("""COMPUTED_VALUE"""),"e")</f>
        <v>e</v>
      </c>
      <c r="Q734" s="18" t="str">
        <f>IFERROR(__xludf.DUMMYFUNCTION("""COMPUTED_VALUE"""),"Privacidade")</f>
        <v>Privacidade</v>
      </c>
      <c r="R734" s="18" t="str">
        <f>IFERROR(__xludf.DUMMYFUNCTION("""COMPUTED_VALUE"""),"na")</f>
        <v>na</v>
      </c>
      <c r="S734" s="18" t="str">
        <f>IFERROR(__xludf.DUMMYFUNCTION("""COMPUTED_VALUE"""),"Lei")</f>
        <v>Lei</v>
      </c>
      <c r="T734" s="18" t="str">
        <f>IFERROR(__xludf.DUMMYFUNCTION("""COMPUTED_VALUE"""),"Geral")</f>
        <v>Geral</v>
      </c>
      <c r="U734" s="18" t="str">
        <f>IFERROR(__xludf.DUMMYFUNCTION("""COMPUTED_VALUE"""),"de")</f>
        <v>de</v>
      </c>
      <c r="V734" s="18" t="str">
        <f>IFERROR(__xludf.DUMMYFUNCTION("""COMPUTED_VALUE"""),"Proteção")</f>
        <v>Proteção</v>
      </c>
      <c r="W734" s="18" t="str">
        <f>IFERROR(__xludf.DUMMYFUNCTION("""COMPUTED_VALUE"""),"de")</f>
        <v>de</v>
      </c>
      <c r="X734" s="18" t="str">
        <f>IFERROR(__xludf.DUMMYFUNCTION("""COMPUTED_VALUE"""),"Dados")</f>
        <v>Dados</v>
      </c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</row>
    <row r="735">
      <c r="A735" s="8"/>
      <c r="B735" s="23"/>
      <c r="C735" s="24"/>
      <c r="D735" s="24"/>
      <c r="E735" s="18"/>
      <c r="F735" s="18"/>
      <c r="G735" s="25">
        <f t="shared" ref="G735:I735" si="613">G734</f>
        <v>2018</v>
      </c>
      <c r="H735" s="20" t="str">
        <f t="shared" si="613"/>
        <v>iepnlg2018</v>
      </c>
      <c r="I735" s="20" t="str">
        <f t="shared" si="613"/>
        <v>Informação e Privacidade na Lei Geral de Proteção de Dados</v>
      </c>
      <c r="J735" s="20" t="str">
        <f t="shared" si="2"/>
        <v>Privacidade</v>
      </c>
      <c r="K735" s="20"/>
      <c r="L735" s="20" t="str">
        <f t="shared" si="3"/>
        <v>privacidade</v>
      </c>
      <c r="M735" s="18"/>
      <c r="N735" s="21" t="str">
        <f>IFERROR(__xludf.DUMMYFUNCTION("""COMPUTED_VALUE""")," Privacidade")</f>
        <v> Privacidade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</row>
    <row r="736">
      <c r="A736" s="8"/>
      <c r="B736" s="23"/>
      <c r="C736" s="24"/>
      <c r="D736" s="24"/>
      <c r="E736" s="18"/>
      <c r="F736" s="18"/>
      <c r="G736" s="25">
        <f t="shared" ref="G736:I736" si="614">G735</f>
        <v>2018</v>
      </c>
      <c r="H736" s="20" t="str">
        <f t="shared" si="614"/>
        <v>iepnlg2018</v>
      </c>
      <c r="I736" s="20" t="str">
        <f t="shared" si="614"/>
        <v>Informação e Privacidade na Lei Geral de Proteção de Dados</v>
      </c>
      <c r="J736" s="20" t="str">
        <f t="shared" si="2"/>
        <v>Lei Geral de Proteção de Dados Pessoais</v>
      </c>
      <c r="K736" s="20"/>
      <c r="L736" s="20" t="str">
        <f t="shared" si="3"/>
        <v>lei geral de proteção de dados pessoais</v>
      </c>
      <c r="M736" s="18"/>
      <c r="N736" s="21" t="str">
        <f>IFERROR(__xludf.DUMMYFUNCTION("""COMPUTED_VALUE""")," Lei Geral de Proteção de Dados Pessoais")</f>
        <v> Lei Geral de Proteção de Dados Pessoais</v>
      </c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</row>
    <row r="737">
      <c r="A737" s="8"/>
      <c r="B737" s="23"/>
      <c r="C737" s="24"/>
      <c r="D737" s="24"/>
      <c r="E737" s="18"/>
      <c r="F737" s="18"/>
      <c r="G737" s="25">
        <f t="shared" ref="G737:I737" si="615">G736</f>
        <v>2018</v>
      </c>
      <c r="H737" s="20" t="str">
        <f t="shared" si="615"/>
        <v>iepnlg2018</v>
      </c>
      <c r="I737" s="20" t="str">
        <f t="shared" si="615"/>
        <v>Informação e Privacidade na Lei Geral de Proteção de Dados</v>
      </c>
      <c r="J737" s="20" t="str">
        <f t="shared" si="2"/>
        <v/>
      </c>
      <c r="K737" s="20"/>
      <c r="L737" s="20" t="str">
        <f t="shared" si="3"/>
        <v/>
      </c>
      <c r="M737" s="18"/>
      <c r="N737" s="21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</row>
    <row r="738">
      <c r="A738" s="8"/>
      <c r="B738" s="23"/>
      <c r="C738" s="24"/>
      <c r="D738" s="24"/>
      <c r="E738" s="18"/>
      <c r="F738" s="18"/>
      <c r="G738" s="25">
        <f t="shared" ref="G738:I738" si="616">G737</f>
        <v>2018</v>
      </c>
      <c r="H738" s="20" t="str">
        <f t="shared" si="616"/>
        <v>iepnlg2018</v>
      </c>
      <c r="I738" s="20" t="str">
        <f t="shared" si="616"/>
        <v>Informação e Privacidade na Lei Geral de Proteção de Dados</v>
      </c>
      <c r="J738" s="20" t="str">
        <f t="shared" si="2"/>
        <v/>
      </c>
      <c r="K738" s="20"/>
      <c r="L738" s="20" t="str">
        <f t="shared" si="3"/>
        <v/>
      </c>
      <c r="M738" s="18"/>
      <c r="N738" s="21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</row>
    <row r="739">
      <c r="A739" s="8"/>
      <c r="B739" s="23"/>
      <c r="C739" s="24"/>
      <c r="D739" s="24"/>
      <c r="E739" s="18"/>
      <c r="F739" s="18"/>
      <c r="G739" s="25">
        <f t="shared" ref="G739:I739" si="617">G738</f>
        <v>2018</v>
      </c>
      <c r="H739" s="20" t="str">
        <f t="shared" si="617"/>
        <v>iepnlg2018</v>
      </c>
      <c r="I739" s="20" t="str">
        <f t="shared" si="617"/>
        <v>Informação e Privacidade na Lei Geral de Proteção de Dados</v>
      </c>
      <c r="J739" s="20" t="str">
        <f t="shared" si="2"/>
        <v/>
      </c>
      <c r="K739" s="20"/>
      <c r="L739" s="20" t="str">
        <f t="shared" si="3"/>
        <v/>
      </c>
      <c r="M739" s="18"/>
      <c r="N739" s="21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</row>
    <row r="740">
      <c r="A740" s="8" t="s">
        <v>54</v>
      </c>
      <c r="B740" s="9">
        <v>2018.0</v>
      </c>
      <c r="C740" s="10" t="s">
        <v>300</v>
      </c>
      <c r="D740" s="10" t="s">
        <v>301</v>
      </c>
      <c r="E740" s="18"/>
      <c r="F740" s="18"/>
      <c r="G740" s="12">
        <f>B740</f>
        <v>2018</v>
      </c>
      <c r="H740" s="13" t="str">
        <f>LOWER(left(O740,1)&amp;left(P740,1)&amp;left(Q740,1)&amp;left(R740,1)&amp;left(S740,1)&amp;left(T740,1))&amp;G740</f>
        <v>opdmnc2018</v>
      </c>
      <c r="I740" s="20" t="str">
        <f>trim(C740)</f>
        <v>O papel dos metadados na curadoria digital</v>
      </c>
      <c r="J740" s="20" t="str">
        <f t="shared" si="2"/>
        <v>Metadados</v>
      </c>
      <c r="K740" s="20"/>
      <c r="L740" s="20" t="str">
        <f t="shared" si="3"/>
        <v>metadados</v>
      </c>
      <c r="M740" s="18"/>
      <c r="N740" s="21" t="str">
        <f>IFERROR(__xludf.DUMMYFUNCTION("TRANSPOSE(split(D740,"";"",true,true))"),"Metadados")</f>
        <v>Metadados</v>
      </c>
      <c r="O740" s="6" t="str">
        <f>IFERROR(__xludf.DUMMYFUNCTION("split(C740,"" "")"),"O")</f>
        <v>O</v>
      </c>
      <c r="P740" s="18" t="str">
        <f>IFERROR(__xludf.DUMMYFUNCTION("""COMPUTED_VALUE"""),"papel")</f>
        <v>papel</v>
      </c>
      <c r="Q740" s="18" t="str">
        <f>IFERROR(__xludf.DUMMYFUNCTION("""COMPUTED_VALUE"""),"dos")</f>
        <v>dos</v>
      </c>
      <c r="R740" s="18" t="str">
        <f>IFERROR(__xludf.DUMMYFUNCTION("""COMPUTED_VALUE"""),"metadados")</f>
        <v>metadados</v>
      </c>
      <c r="S740" s="18" t="str">
        <f>IFERROR(__xludf.DUMMYFUNCTION("""COMPUTED_VALUE"""),"na")</f>
        <v>na</v>
      </c>
      <c r="T740" s="18" t="str">
        <f>IFERROR(__xludf.DUMMYFUNCTION("""COMPUTED_VALUE"""),"curadoria")</f>
        <v>curadoria</v>
      </c>
      <c r="U740" s="18" t="str">
        <f>IFERROR(__xludf.DUMMYFUNCTION("""COMPUTED_VALUE"""),"digital")</f>
        <v>digital</v>
      </c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</row>
    <row r="741">
      <c r="A741" s="22"/>
      <c r="B741" s="23"/>
      <c r="C741" s="24"/>
      <c r="D741" s="24"/>
      <c r="E741" s="18"/>
      <c r="F741" s="18"/>
      <c r="G741" s="25">
        <f t="shared" ref="G741:I741" si="618">G740</f>
        <v>2018</v>
      </c>
      <c r="H741" s="20" t="str">
        <f t="shared" si="618"/>
        <v>opdmnc2018</v>
      </c>
      <c r="I741" s="20" t="str">
        <f t="shared" si="618"/>
        <v>O papel dos metadados na curadoria digital</v>
      </c>
      <c r="J741" s="20" t="str">
        <f t="shared" si="2"/>
        <v>Curadoria Digital</v>
      </c>
      <c r="K741" s="20"/>
      <c r="L741" s="20" t="str">
        <f t="shared" si="3"/>
        <v>curadoria digital</v>
      </c>
      <c r="M741" s="18"/>
      <c r="N741" s="21" t="str">
        <f>IFERROR(__xludf.DUMMYFUNCTION("""COMPUTED_VALUE""")," Curadoria Digital")</f>
        <v> Curadoria Digital</v>
      </c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</row>
    <row r="742">
      <c r="A742" s="22"/>
      <c r="B742" s="23"/>
      <c r="C742" s="24"/>
      <c r="D742" s="24"/>
      <c r="E742" s="18"/>
      <c r="F742" s="18"/>
      <c r="G742" s="25">
        <f t="shared" ref="G742:I742" si="619">G741</f>
        <v>2018</v>
      </c>
      <c r="H742" s="20" t="str">
        <f t="shared" si="619"/>
        <v>opdmnc2018</v>
      </c>
      <c r="I742" s="20" t="str">
        <f t="shared" si="619"/>
        <v>O papel dos metadados na curadoria digital</v>
      </c>
      <c r="J742" s="20" t="str">
        <f t="shared" si="2"/>
        <v>Preservação Digital</v>
      </c>
      <c r="K742" s="20"/>
      <c r="L742" s="20" t="str">
        <f t="shared" si="3"/>
        <v>preservação digital</v>
      </c>
      <c r="M742" s="18"/>
      <c r="N742" s="21" t="str">
        <f>IFERROR(__xludf.DUMMYFUNCTION("""COMPUTED_VALUE""")," Preservação Digital")</f>
        <v> Preservação Digital</v>
      </c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</row>
    <row r="743">
      <c r="A743" s="22"/>
      <c r="B743" s="23"/>
      <c r="C743" s="24"/>
      <c r="D743" s="24"/>
      <c r="E743" s="18"/>
      <c r="F743" s="18"/>
      <c r="G743" s="25">
        <f t="shared" ref="G743:I743" si="620">G742</f>
        <v>2018</v>
      </c>
      <c r="H743" s="20" t="str">
        <f t="shared" si="620"/>
        <v>opdmnc2018</v>
      </c>
      <c r="I743" s="20" t="str">
        <f t="shared" si="620"/>
        <v>O papel dos metadados na curadoria digital</v>
      </c>
      <c r="J743" s="20" t="str">
        <f t="shared" si="2"/>
        <v/>
      </c>
      <c r="K743" s="20"/>
      <c r="L743" s="20" t="str">
        <f t="shared" si="3"/>
        <v/>
      </c>
      <c r="M743" s="18"/>
      <c r="N743" s="21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</row>
    <row r="744">
      <c r="A744" s="22"/>
      <c r="B744" s="23"/>
      <c r="C744" s="24"/>
      <c r="D744" s="24"/>
      <c r="E744" s="18"/>
      <c r="F744" s="18"/>
      <c r="G744" s="25">
        <f t="shared" ref="G744:I744" si="621">G743</f>
        <v>2018</v>
      </c>
      <c r="H744" s="20" t="str">
        <f t="shared" si="621"/>
        <v>opdmnc2018</v>
      </c>
      <c r="I744" s="20" t="str">
        <f t="shared" si="621"/>
        <v>O papel dos metadados na curadoria digital</v>
      </c>
      <c r="J744" s="20" t="str">
        <f t="shared" si="2"/>
        <v/>
      </c>
      <c r="K744" s="20"/>
      <c r="L744" s="20" t="str">
        <f t="shared" si="3"/>
        <v/>
      </c>
      <c r="M744" s="18"/>
      <c r="N744" s="21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</row>
    <row r="745">
      <c r="A745" s="8"/>
      <c r="B745" s="23"/>
      <c r="C745" s="24"/>
      <c r="D745" s="24"/>
      <c r="E745" s="18"/>
      <c r="F745" s="18"/>
      <c r="G745" s="25">
        <f t="shared" ref="G745:I745" si="622">G744</f>
        <v>2018</v>
      </c>
      <c r="H745" s="20" t="str">
        <f t="shared" si="622"/>
        <v>opdmnc2018</v>
      </c>
      <c r="I745" s="20" t="str">
        <f t="shared" si="622"/>
        <v>O papel dos metadados na curadoria digital</v>
      </c>
      <c r="J745" s="20" t="str">
        <f t="shared" si="2"/>
        <v/>
      </c>
      <c r="K745" s="20"/>
      <c r="L745" s="20" t="str">
        <f t="shared" si="3"/>
        <v/>
      </c>
      <c r="M745" s="18"/>
      <c r="N745" s="21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</row>
    <row r="746">
      <c r="A746" s="8" t="s">
        <v>54</v>
      </c>
      <c r="B746" s="9">
        <v>2018.0</v>
      </c>
      <c r="C746" s="10" t="s">
        <v>302</v>
      </c>
      <c r="D746" s="10" t="s">
        <v>303</v>
      </c>
      <c r="E746" s="18"/>
      <c r="F746" s="18"/>
      <c r="G746" s="12">
        <f>B746</f>
        <v>2018</v>
      </c>
      <c r="H746" s="13" t="str">
        <f>LOWER(left(O746,1)&amp;left(P746,1)&amp;left(Q746,1)&amp;left(R746,1)&amp;left(S746,1)&amp;left(T746,1))&amp;G746</f>
        <v>paddud2018</v>
      </c>
      <c r="I746" s="20" t="str">
        <f>trim(C746)</f>
        <v>Proteção autoral de dados: uso de Blockchain</v>
      </c>
      <c r="J746" s="20" t="str">
        <f t="shared" si="2"/>
        <v>Direitos autorais</v>
      </c>
      <c r="K746" s="20"/>
      <c r="L746" s="20" t="str">
        <f t="shared" si="3"/>
        <v>direitos autorais</v>
      </c>
      <c r="M746" s="18"/>
      <c r="N746" s="21" t="str">
        <f>IFERROR(__xludf.DUMMYFUNCTION("TRANSPOSE(split(D746,"";"",true,true))"),"Direitos autorais")</f>
        <v>Direitos autorais</v>
      </c>
      <c r="O746" s="6" t="str">
        <f>IFERROR(__xludf.DUMMYFUNCTION("split(C746,"" "")"),"Proteção")</f>
        <v>Proteção</v>
      </c>
      <c r="P746" s="18" t="str">
        <f>IFERROR(__xludf.DUMMYFUNCTION("""COMPUTED_VALUE"""),"autoral")</f>
        <v>autoral</v>
      </c>
      <c r="Q746" s="18" t="str">
        <f>IFERROR(__xludf.DUMMYFUNCTION("""COMPUTED_VALUE"""),"de")</f>
        <v>de</v>
      </c>
      <c r="R746" s="18" t="str">
        <f>IFERROR(__xludf.DUMMYFUNCTION("""COMPUTED_VALUE"""),"dados:")</f>
        <v>dados:</v>
      </c>
      <c r="S746" s="18" t="str">
        <f>IFERROR(__xludf.DUMMYFUNCTION("""COMPUTED_VALUE"""),"uso")</f>
        <v>uso</v>
      </c>
      <c r="T746" s="18" t="str">
        <f>IFERROR(__xludf.DUMMYFUNCTION("""COMPUTED_VALUE"""),"de")</f>
        <v>de</v>
      </c>
      <c r="U746" s="18" t="str">
        <f>IFERROR(__xludf.DUMMYFUNCTION("""COMPUTED_VALUE"""),"Blockchain")</f>
        <v>Blockchain</v>
      </c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</row>
    <row r="747">
      <c r="A747" s="22"/>
      <c r="B747" s="23"/>
      <c r="C747" s="24"/>
      <c r="D747" s="24"/>
      <c r="E747" s="18"/>
      <c r="F747" s="18"/>
      <c r="G747" s="25">
        <f t="shared" ref="G747:I747" si="623">G746</f>
        <v>2018</v>
      </c>
      <c r="H747" s="20" t="str">
        <f t="shared" si="623"/>
        <v>paddud2018</v>
      </c>
      <c r="I747" s="20" t="str">
        <f t="shared" si="623"/>
        <v>Proteção autoral de dados: uso de Blockchain</v>
      </c>
      <c r="J747" s="20" t="str">
        <f t="shared" si="2"/>
        <v>Blockchain</v>
      </c>
      <c r="K747" s="20"/>
      <c r="L747" s="20" t="str">
        <f t="shared" si="3"/>
        <v>blockchain</v>
      </c>
      <c r="M747" s="18"/>
      <c r="N747" s="21" t="str">
        <f>IFERROR(__xludf.DUMMYFUNCTION("""COMPUTED_VALUE""")," Blockchain")</f>
        <v> Blockchain</v>
      </c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</row>
    <row r="748">
      <c r="A748" s="22"/>
      <c r="B748" s="23"/>
      <c r="C748" s="24"/>
      <c r="D748" s="24"/>
      <c r="E748" s="18"/>
      <c r="F748" s="18"/>
      <c r="G748" s="25">
        <f t="shared" ref="G748:I748" si="624">G747</f>
        <v>2018</v>
      </c>
      <c r="H748" s="20" t="str">
        <f t="shared" si="624"/>
        <v>paddud2018</v>
      </c>
      <c r="I748" s="20" t="str">
        <f t="shared" si="624"/>
        <v>Proteção autoral de dados: uso de Blockchain</v>
      </c>
      <c r="J748" s="20" t="str">
        <f t="shared" si="2"/>
        <v>Propriedade intelectual</v>
      </c>
      <c r="K748" s="20"/>
      <c r="L748" s="20" t="str">
        <f t="shared" si="3"/>
        <v>propriedade intelectual</v>
      </c>
      <c r="M748" s="18"/>
      <c r="N748" s="21" t="str">
        <f>IFERROR(__xludf.DUMMYFUNCTION("""COMPUTED_VALUE""")," Propriedade intelectual")</f>
        <v> Propriedade intelectual</v>
      </c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</row>
    <row r="749">
      <c r="A749" s="22"/>
      <c r="B749" s="23"/>
      <c r="C749" s="24"/>
      <c r="D749" s="24"/>
      <c r="E749" s="18"/>
      <c r="F749" s="18"/>
      <c r="G749" s="25">
        <f t="shared" ref="G749:I749" si="625">G748</f>
        <v>2018</v>
      </c>
      <c r="H749" s="20" t="str">
        <f t="shared" si="625"/>
        <v>paddud2018</v>
      </c>
      <c r="I749" s="20" t="str">
        <f t="shared" si="625"/>
        <v>Proteção autoral de dados: uso de Blockchain</v>
      </c>
      <c r="J749" s="20" t="str">
        <f t="shared" si="2"/>
        <v>Dados</v>
      </c>
      <c r="K749" s="20"/>
      <c r="L749" s="20" t="str">
        <f t="shared" si="3"/>
        <v>dados</v>
      </c>
      <c r="M749" s="18"/>
      <c r="N749" s="21" t="str">
        <f>IFERROR(__xludf.DUMMYFUNCTION("""COMPUTED_VALUE""")," Dados")</f>
        <v> Dados</v>
      </c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</row>
    <row r="750">
      <c r="A750" s="22"/>
      <c r="B750" s="23"/>
      <c r="C750" s="24"/>
      <c r="D750" s="24"/>
      <c r="E750" s="18"/>
      <c r="F750" s="18"/>
      <c r="G750" s="25">
        <f t="shared" ref="G750:I750" si="626">G749</f>
        <v>2018</v>
      </c>
      <c r="H750" s="20" t="str">
        <f t="shared" si="626"/>
        <v>paddud2018</v>
      </c>
      <c r="I750" s="20" t="str">
        <f t="shared" si="626"/>
        <v>Proteção autoral de dados: uso de Blockchain</v>
      </c>
      <c r="J750" s="20" t="str">
        <f t="shared" si="2"/>
        <v/>
      </c>
      <c r="K750" s="20"/>
      <c r="L750" s="20" t="str">
        <f t="shared" si="3"/>
        <v/>
      </c>
      <c r="M750" s="18"/>
      <c r="N750" s="21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</row>
    <row r="751">
      <c r="A751" s="8"/>
      <c r="B751" s="23"/>
      <c r="C751" s="24"/>
      <c r="D751" s="24"/>
      <c r="E751" s="18"/>
      <c r="F751" s="18"/>
      <c r="G751" s="25">
        <f t="shared" ref="G751:I751" si="627">G750</f>
        <v>2018</v>
      </c>
      <c r="H751" s="20" t="str">
        <f t="shared" si="627"/>
        <v>paddud2018</v>
      </c>
      <c r="I751" s="20" t="str">
        <f t="shared" si="627"/>
        <v>Proteção autoral de dados: uso de Blockchain</v>
      </c>
      <c r="J751" s="20" t="str">
        <f t="shared" si="2"/>
        <v/>
      </c>
      <c r="K751" s="20"/>
      <c r="L751" s="20" t="str">
        <f t="shared" si="3"/>
        <v/>
      </c>
      <c r="M751" s="18"/>
      <c r="N751" s="21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</row>
    <row r="752">
      <c r="A752" s="8" t="s">
        <v>54</v>
      </c>
      <c r="B752" s="9">
        <v>2018.0</v>
      </c>
      <c r="C752" s="10" t="s">
        <v>304</v>
      </c>
      <c r="D752" s="10" t="s">
        <v>305</v>
      </c>
      <c r="E752" s="18"/>
      <c r="F752" s="18"/>
      <c r="G752" s="12">
        <f>B752</f>
        <v>2018</v>
      </c>
      <c r="H752" s="13" t="str">
        <f>LOWER(left(O752,1)&amp;left(P752,1)&amp;left(Q752,1)&amp;left(R752,1)&amp;left(S752,1)&amp;left(T752,1))&amp;G752</f>
        <v>tbunpn2018</v>
      </c>
      <c r="I752" s="20" t="str">
        <f>trim(C752)</f>
        <v>Tecnologia Blockchain: Um Novo Paradigma no Ciclo de Vida dos Dados</v>
      </c>
      <c r="J752" s="20" t="str">
        <f t="shared" si="2"/>
        <v>Tecnologia Blockchain</v>
      </c>
      <c r="K752" s="20"/>
      <c r="L752" s="20" t="str">
        <f t="shared" si="3"/>
        <v>tecnologia blockchain</v>
      </c>
      <c r="M752" s="18"/>
      <c r="N752" s="21" t="str">
        <f>IFERROR(__xludf.DUMMYFUNCTION("TRANSPOSE(split(D752,"";"",true,true))"),"Tecnologia Blockchain")</f>
        <v>Tecnologia Blockchain</v>
      </c>
      <c r="O752" s="6" t="str">
        <f>IFERROR(__xludf.DUMMYFUNCTION("split(C752,"" "")"),"Tecnologia")</f>
        <v>Tecnologia</v>
      </c>
      <c r="P752" s="18" t="str">
        <f>IFERROR(__xludf.DUMMYFUNCTION("""COMPUTED_VALUE"""),"Blockchain:")</f>
        <v>Blockchain:</v>
      </c>
      <c r="Q752" s="18" t="str">
        <f>IFERROR(__xludf.DUMMYFUNCTION("""COMPUTED_VALUE"""),"Um")</f>
        <v>Um</v>
      </c>
      <c r="R752" s="18" t="str">
        <f>IFERROR(__xludf.DUMMYFUNCTION("""COMPUTED_VALUE"""),"Novo")</f>
        <v>Novo</v>
      </c>
      <c r="S752" s="18" t="str">
        <f>IFERROR(__xludf.DUMMYFUNCTION("""COMPUTED_VALUE"""),"Paradigma")</f>
        <v>Paradigma</v>
      </c>
      <c r="T752" s="18" t="str">
        <f>IFERROR(__xludf.DUMMYFUNCTION("""COMPUTED_VALUE"""),"no")</f>
        <v>no</v>
      </c>
      <c r="U752" s="18" t="str">
        <f>IFERROR(__xludf.DUMMYFUNCTION("""COMPUTED_VALUE"""),"Ciclo")</f>
        <v>Ciclo</v>
      </c>
      <c r="V752" s="18" t="str">
        <f>IFERROR(__xludf.DUMMYFUNCTION("""COMPUTED_VALUE"""),"de")</f>
        <v>de</v>
      </c>
      <c r="W752" s="18" t="str">
        <f>IFERROR(__xludf.DUMMYFUNCTION("""COMPUTED_VALUE"""),"Vida")</f>
        <v>Vida</v>
      </c>
      <c r="X752" s="18" t="str">
        <f>IFERROR(__xludf.DUMMYFUNCTION("""COMPUTED_VALUE"""),"dos")</f>
        <v>dos</v>
      </c>
      <c r="Y752" s="18" t="str">
        <f>IFERROR(__xludf.DUMMYFUNCTION("""COMPUTED_VALUE"""),"Dados")</f>
        <v>Dados</v>
      </c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</row>
    <row r="753">
      <c r="A753" s="22"/>
      <c r="B753" s="23"/>
      <c r="C753" s="24"/>
      <c r="D753" s="24"/>
      <c r="E753" s="18"/>
      <c r="F753" s="18"/>
      <c r="G753" s="25">
        <f t="shared" ref="G753:I753" si="628">G752</f>
        <v>2018</v>
      </c>
      <c r="H753" s="20" t="str">
        <f t="shared" si="628"/>
        <v>tbunpn2018</v>
      </c>
      <c r="I753" s="20" t="str">
        <f t="shared" si="628"/>
        <v>Tecnologia Blockchain: Um Novo Paradigma no Ciclo de Vida dos Dados</v>
      </c>
      <c r="J753" s="20" t="str">
        <f t="shared" si="2"/>
        <v>Ciências Abertas</v>
      </c>
      <c r="K753" s="20"/>
      <c r="L753" s="20" t="str">
        <f t="shared" si="3"/>
        <v>ciências abertas</v>
      </c>
      <c r="M753" s="18"/>
      <c r="N753" s="21" t="str">
        <f>IFERROR(__xludf.DUMMYFUNCTION("""COMPUTED_VALUE""")," Ciências Abertas")</f>
        <v> Ciências Abertas</v>
      </c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</row>
    <row r="754">
      <c r="A754" s="22"/>
      <c r="B754" s="23"/>
      <c r="C754" s="24"/>
      <c r="D754" s="24"/>
      <c r="E754" s="18"/>
      <c r="F754" s="18"/>
      <c r="G754" s="25">
        <f t="shared" ref="G754:I754" si="629">G753</f>
        <v>2018</v>
      </c>
      <c r="H754" s="20" t="str">
        <f t="shared" si="629"/>
        <v>tbunpn2018</v>
      </c>
      <c r="I754" s="20" t="str">
        <f t="shared" si="629"/>
        <v>Tecnologia Blockchain: Um Novo Paradigma no Ciclo de Vida dos Dados</v>
      </c>
      <c r="J754" s="20" t="str">
        <f t="shared" si="2"/>
        <v>Ciclo de Vida dos Dados</v>
      </c>
      <c r="K754" s="20"/>
      <c r="L754" s="20" t="str">
        <f t="shared" si="3"/>
        <v>ciclo de vida dos dados</v>
      </c>
      <c r="M754" s="18"/>
      <c r="N754" s="21" t="str">
        <f>IFERROR(__xludf.DUMMYFUNCTION("""COMPUTED_VALUE""")," Ciclo de Vida dos Dados")</f>
        <v> Ciclo de Vida dos Dados</v>
      </c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</row>
    <row r="755">
      <c r="A755" s="22"/>
      <c r="B755" s="23"/>
      <c r="C755" s="24"/>
      <c r="D755" s="24"/>
      <c r="E755" s="18"/>
      <c r="F755" s="18"/>
      <c r="G755" s="25">
        <f t="shared" ref="G755:I755" si="630">G754</f>
        <v>2018</v>
      </c>
      <c r="H755" s="20" t="str">
        <f t="shared" si="630"/>
        <v>tbunpn2018</v>
      </c>
      <c r="I755" s="20" t="str">
        <f t="shared" si="630"/>
        <v>Tecnologia Blockchain: Um Novo Paradigma no Ciclo de Vida dos Dados</v>
      </c>
      <c r="J755" s="20" t="str">
        <f t="shared" si="2"/>
        <v/>
      </c>
      <c r="K755" s="20"/>
      <c r="L755" s="20" t="str">
        <f t="shared" si="3"/>
        <v/>
      </c>
      <c r="M755" s="18"/>
      <c r="N755" s="21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</row>
    <row r="756">
      <c r="A756" s="22"/>
      <c r="B756" s="23"/>
      <c r="C756" s="24"/>
      <c r="D756" s="24"/>
      <c r="E756" s="18"/>
      <c r="F756" s="18"/>
      <c r="G756" s="25">
        <f t="shared" ref="G756:I756" si="631">G755</f>
        <v>2018</v>
      </c>
      <c r="H756" s="20" t="str">
        <f t="shared" si="631"/>
        <v>tbunpn2018</v>
      </c>
      <c r="I756" s="20" t="str">
        <f t="shared" si="631"/>
        <v>Tecnologia Blockchain: Um Novo Paradigma no Ciclo de Vida dos Dados</v>
      </c>
      <c r="J756" s="20" t="str">
        <f t="shared" si="2"/>
        <v/>
      </c>
      <c r="K756" s="20"/>
      <c r="L756" s="20" t="str">
        <f t="shared" si="3"/>
        <v/>
      </c>
      <c r="M756" s="18"/>
      <c r="N756" s="21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</row>
    <row r="757">
      <c r="A757" s="8"/>
      <c r="B757" s="23"/>
      <c r="C757" s="24"/>
      <c r="D757" s="24"/>
      <c r="E757" s="18"/>
      <c r="F757" s="18"/>
      <c r="G757" s="25">
        <f t="shared" ref="G757:I757" si="632">G756</f>
        <v>2018</v>
      </c>
      <c r="H757" s="20" t="str">
        <f t="shared" si="632"/>
        <v>tbunpn2018</v>
      </c>
      <c r="I757" s="20" t="str">
        <f t="shared" si="632"/>
        <v>Tecnologia Blockchain: Um Novo Paradigma no Ciclo de Vida dos Dados</v>
      </c>
      <c r="J757" s="20" t="str">
        <f t="shared" si="2"/>
        <v/>
      </c>
      <c r="K757" s="20"/>
      <c r="L757" s="20" t="str">
        <f t="shared" si="3"/>
        <v/>
      </c>
      <c r="M757" s="18"/>
      <c r="N757" s="21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</row>
    <row r="758">
      <c r="A758" s="8" t="s">
        <v>54</v>
      </c>
      <c r="B758" s="9">
        <v>2018.0</v>
      </c>
      <c r="C758" s="10" t="s">
        <v>306</v>
      </c>
      <c r="D758" s="24"/>
      <c r="E758" s="18"/>
      <c r="F758" s="18"/>
      <c r="G758" s="12">
        <f>B758</f>
        <v>2018</v>
      </c>
      <c r="H758" s="13" t="str">
        <f>LOWER(left(O758,1)&amp;left(P758,1)&amp;left(Q758,1)&amp;left(R758,1)&amp;left(S758,1)&amp;left(T758,1))&amp;G758</f>
        <v>caopdm2018</v>
      </c>
      <c r="I758" s="20" t="str">
        <f>trim(C758)</f>
        <v>Ciência Aberta: o papel dos metadados na descoberta de conhecimento</v>
      </c>
      <c r="J758" s="20" t="str">
        <f t="shared" si="2"/>
        <v/>
      </c>
      <c r="K758" s="30" t="s">
        <v>307</v>
      </c>
      <c r="L758" s="20" t="str">
        <f t="shared" si="3"/>
        <v>ciência aberta</v>
      </c>
      <c r="M758" s="32"/>
      <c r="N758" s="21" t="str">
        <f>IFERROR(__xludf.DUMMYFUNCTION("TRANSPOSE(split(D758,"";"",true,true))"),"#VALUE!")</f>
        <v>#VALUE!</v>
      </c>
      <c r="O758" s="6" t="str">
        <f>IFERROR(__xludf.DUMMYFUNCTION("split(C758,"" "")"),"Ciência")</f>
        <v>Ciência</v>
      </c>
      <c r="P758" s="18" t="str">
        <f>IFERROR(__xludf.DUMMYFUNCTION("""COMPUTED_VALUE"""),"Aberta:")</f>
        <v>Aberta:</v>
      </c>
      <c r="Q758" s="18" t="str">
        <f>IFERROR(__xludf.DUMMYFUNCTION("""COMPUTED_VALUE"""),"o")</f>
        <v>o</v>
      </c>
      <c r="R758" s="18" t="str">
        <f>IFERROR(__xludf.DUMMYFUNCTION("""COMPUTED_VALUE"""),"papel")</f>
        <v>papel</v>
      </c>
      <c r="S758" s="18" t="str">
        <f>IFERROR(__xludf.DUMMYFUNCTION("""COMPUTED_VALUE"""),"dos")</f>
        <v>dos</v>
      </c>
      <c r="T758" s="18" t="str">
        <f>IFERROR(__xludf.DUMMYFUNCTION("""COMPUTED_VALUE"""),"metadados")</f>
        <v>metadados</v>
      </c>
      <c r="U758" s="18" t="str">
        <f>IFERROR(__xludf.DUMMYFUNCTION("""COMPUTED_VALUE"""),"na")</f>
        <v>na</v>
      </c>
      <c r="V758" s="18" t="str">
        <f>IFERROR(__xludf.DUMMYFUNCTION("""COMPUTED_VALUE"""),"descoberta")</f>
        <v>descoberta</v>
      </c>
      <c r="W758" s="18" t="str">
        <f>IFERROR(__xludf.DUMMYFUNCTION("""COMPUTED_VALUE"""),"de")</f>
        <v>de</v>
      </c>
      <c r="X758" s="18" t="str">
        <f>IFERROR(__xludf.DUMMYFUNCTION("""COMPUTED_VALUE"""),"conhecimento")</f>
        <v>conhecimento</v>
      </c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</row>
    <row r="759">
      <c r="A759" s="22"/>
      <c r="B759" s="23"/>
      <c r="C759" s="24"/>
      <c r="D759" s="24"/>
      <c r="E759" s="18"/>
      <c r="F759" s="18"/>
      <c r="G759" s="25">
        <f t="shared" ref="G759:I759" si="633">G758</f>
        <v>2018</v>
      </c>
      <c r="H759" s="20" t="str">
        <f t="shared" si="633"/>
        <v>caopdm2018</v>
      </c>
      <c r="I759" s="20" t="str">
        <f t="shared" si="633"/>
        <v>Ciência Aberta: o papel dos metadados na descoberta de conhecimento</v>
      </c>
      <c r="J759" s="20" t="str">
        <f t="shared" si="2"/>
        <v/>
      </c>
      <c r="K759" s="30" t="s">
        <v>308</v>
      </c>
      <c r="L759" s="20" t="str">
        <f t="shared" si="3"/>
        <v>metadados</v>
      </c>
      <c r="M759" s="18"/>
      <c r="N759" s="21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</row>
    <row r="760">
      <c r="A760" s="22"/>
      <c r="B760" s="23"/>
      <c r="C760" s="24"/>
      <c r="D760" s="24"/>
      <c r="E760" s="18"/>
      <c r="F760" s="18"/>
      <c r="G760" s="25">
        <f t="shared" ref="G760:I760" si="634">G759</f>
        <v>2018</v>
      </c>
      <c r="H760" s="20" t="str">
        <f t="shared" si="634"/>
        <v>caopdm2018</v>
      </c>
      <c r="I760" s="20" t="str">
        <f t="shared" si="634"/>
        <v>Ciência Aberta: o papel dos metadados na descoberta de conhecimento</v>
      </c>
      <c r="J760" s="20" t="str">
        <f t="shared" si="2"/>
        <v/>
      </c>
      <c r="K760" s="30" t="s">
        <v>309</v>
      </c>
      <c r="L760" s="20" t="str">
        <f t="shared" si="3"/>
        <v>descoberta de conhecimento</v>
      </c>
      <c r="M760" s="18"/>
      <c r="N760" s="21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</row>
    <row r="761">
      <c r="A761" s="22"/>
      <c r="B761" s="23"/>
      <c r="C761" s="24"/>
      <c r="D761" s="24"/>
      <c r="E761" s="18"/>
      <c r="F761" s="18"/>
      <c r="G761" s="25">
        <f t="shared" ref="G761:I761" si="635">G760</f>
        <v>2018</v>
      </c>
      <c r="H761" s="20" t="str">
        <f t="shared" si="635"/>
        <v>caopdm2018</v>
      </c>
      <c r="I761" s="20" t="str">
        <f t="shared" si="635"/>
        <v>Ciência Aberta: o papel dos metadados na descoberta de conhecimento</v>
      </c>
      <c r="J761" s="20" t="str">
        <f t="shared" si="2"/>
        <v/>
      </c>
      <c r="K761" s="20"/>
      <c r="L761" s="20" t="str">
        <f t="shared" si="3"/>
        <v/>
      </c>
      <c r="M761" s="18"/>
      <c r="N761" s="21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</row>
    <row r="762">
      <c r="A762" s="22"/>
      <c r="B762" s="23"/>
      <c r="C762" s="24"/>
      <c r="D762" s="24"/>
      <c r="E762" s="18"/>
      <c r="F762" s="18"/>
      <c r="G762" s="25">
        <f t="shared" ref="G762:I762" si="636">G761</f>
        <v>2018</v>
      </c>
      <c r="H762" s="20" t="str">
        <f t="shared" si="636"/>
        <v>caopdm2018</v>
      </c>
      <c r="I762" s="20" t="str">
        <f t="shared" si="636"/>
        <v>Ciência Aberta: o papel dos metadados na descoberta de conhecimento</v>
      </c>
      <c r="J762" s="20" t="str">
        <f t="shared" si="2"/>
        <v/>
      </c>
      <c r="K762" s="20"/>
      <c r="L762" s="20" t="str">
        <f t="shared" si="3"/>
        <v/>
      </c>
      <c r="M762" s="18"/>
      <c r="N762" s="21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</row>
    <row r="763">
      <c r="A763" s="8"/>
      <c r="B763" s="23"/>
      <c r="C763" s="24"/>
      <c r="D763" s="24"/>
      <c r="E763" s="18"/>
      <c r="F763" s="18"/>
      <c r="G763" s="25">
        <f t="shared" ref="G763:I763" si="637">G762</f>
        <v>2018</v>
      </c>
      <c r="H763" s="20" t="str">
        <f t="shared" si="637"/>
        <v>caopdm2018</v>
      </c>
      <c r="I763" s="20" t="str">
        <f t="shared" si="637"/>
        <v>Ciência Aberta: o papel dos metadados na descoberta de conhecimento</v>
      </c>
      <c r="J763" s="20" t="str">
        <f t="shared" si="2"/>
        <v/>
      </c>
      <c r="K763" s="20"/>
      <c r="L763" s="20" t="str">
        <f t="shared" si="3"/>
        <v/>
      </c>
      <c r="M763" s="18"/>
      <c r="N763" s="21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</row>
    <row r="764">
      <c r="A764" s="8" t="s">
        <v>54</v>
      </c>
      <c r="B764" s="9">
        <v>2018.0</v>
      </c>
      <c r="C764" s="10" t="s">
        <v>310</v>
      </c>
      <c r="D764" s="24"/>
      <c r="E764" s="18"/>
      <c r="F764" s="18"/>
      <c r="G764" s="12">
        <f>B764</f>
        <v>2018</v>
      </c>
      <c r="H764" s="13" t="str">
        <f>LOWER(left(O764,1)&amp;left(P764,1)&amp;left(Q764,1)&amp;left(R764,1)&amp;left(S764,1)&amp;left(T764,1))&amp;G764</f>
        <v>iddbeo2018</v>
      </c>
      <c r="I764" s="20" t="str">
        <f>trim(C764)</f>
        <v>Integração de dados baseada em ontologias</v>
      </c>
      <c r="J764" s="20" t="str">
        <f t="shared" si="2"/>
        <v/>
      </c>
      <c r="K764" s="30" t="s">
        <v>311</v>
      </c>
      <c r="L764" s="20" t="str">
        <f t="shared" si="3"/>
        <v>ontologia</v>
      </c>
      <c r="M764" s="18"/>
      <c r="N764" s="21" t="str">
        <f>IFERROR(__xludf.DUMMYFUNCTION("TRANSPOSE(split(D764,"";"",true,true))"),"#VALUE!")</f>
        <v>#VALUE!</v>
      </c>
      <c r="O764" s="6" t="str">
        <f>IFERROR(__xludf.DUMMYFUNCTION("split(C764,"" "")"),"Integração")</f>
        <v>Integração</v>
      </c>
      <c r="P764" s="18" t="str">
        <f>IFERROR(__xludf.DUMMYFUNCTION("""COMPUTED_VALUE"""),"de")</f>
        <v>de</v>
      </c>
      <c r="Q764" s="18" t="str">
        <f>IFERROR(__xludf.DUMMYFUNCTION("""COMPUTED_VALUE"""),"dados")</f>
        <v>dados</v>
      </c>
      <c r="R764" s="18" t="str">
        <f>IFERROR(__xludf.DUMMYFUNCTION("""COMPUTED_VALUE"""),"baseada")</f>
        <v>baseada</v>
      </c>
      <c r="S764" s="18" t="str">
        <f>IFERROR(__xludf.DUMMYFUNCTION("""COMPUTED_VALUE"""),"em")</f>
        <v>em</v>
      </c>
      <c r="T764" s="18" t="str">
        <f>IFERROR(__xludf.DUMMYFUNCTION("""COMPUTED_VALUE"""),"ontologias")</f>
        <v>ontologias</v>
      </c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</row>
    <row r="765">
      <c r="A765" s="22"/>
      <c r="B765" s="23"/>
      <c r="C765" s="24"/>
      <c r="D765" s="24"/>
      <c r="E765" s="18"/>
      <c r="F765" s="18"/>
      <c r="G765" s="25">
        <f t="shared" ref="G765:I765" si="638">G764</f>
        <v>2018</v>
      </c>
      <c r="H765" s="20" t="str">
        <f t="shared" si="638"/>
        <v>iddbeo2018</v>
      </c>
      <c r="I765" s="20" t="str">
        <f t="shared" si="638"/>
        <v>Integração de dados baseada em ontologias</v>
      </c>
      <c r="J765" s="20" t="str">
        <f t="shared" si="2"/>
        <v/>
      </c>
      <c r="K765" s="20"/>
      <c r="L765" s="20" t="str">
        <f t="shared" si="3"/>
        <v/>
      </c>
      <c r="M765" s="18"/>
      <c r="N765" s="21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</row>
    <row r="766">
      <c r="A766" s="22"/>
      <c r="B766" s="23"/>
      <c r="C766" s="24"/>
      <c r="D766" s="24"/>
      <c r="E766" s="18"/>
      <c r="F766" s="18"/>
      <c r="G766" s="25">
        <f t="shared" ref="G766:I766" si="639">G765</f>
        <v>2018</v>
      </c>
      <c r="H766" s="20" t="str">
        <f t="shared" si="639"/>
        <v>iddbeo2018</v>
      </c>
      <c r="I766" s="20" t="str">
        <f t="shared" si="639"/>
        <v>Integração de dados baseada em ontologias</v>
      </c>
      <c r="J766" s="20" t="str">
        <f t="shared" si="2"/>
        <v/>
      </c>
      <c r="K766" s="20"/>
      <c r="L766" s="20" t="str">
        <f t="shared" si="3"/>
        <v/>
      </c>
      <c r="M766" s="18"/>
      <c r="N766" s="21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</row>
    <row r="767">
      <c r="A767" s="22"/>
      <c r="B767" s="23"/>
      <c r="C767" s="24"/>
      <c r="D767" s="24"/>
      <c r="E767" s="18"/>
      <c r="F767" s="18"/>
      <c r="G767" s="25">
        <f t="shared" ref="G767:I767" si="640">G766</f>
        <v>2018</v>
      </c>
      <c r="H767" s="20" t="str">
        <f t="shared" si="640"/>
        <v>iddbeo2018</v>
      </c>
      <c r="I767" s="20" t="str">
        <f t="shared" si="640"/>
        <v>Integração de dados baseada em ontologias</v>
      </c>
      <c r="J767" s="20" t="str">
        <f t="shared" si="2"/>
        <v/>
      </c>
      <c r="K767" s="20"/>
      <c r="L767" s="20" t="str">
        <f t="shared" si="3"/>
        <v/>
      </c>
      <c r="M767" s="18"/>
      <c r="N767" s="21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</row>
    <row r="768">
      <c r="A768" s="22"/>
      <c r="B768" s="23"/>
      <c r="C768" s="24"/>
      <c r="D768" s="24"/>
      <c r="E768" s="18"/>
      <c r="F768" s="18"/>
      <c r="G768" s="25">
        <f t="shared" ref="G768:I768" si="641">G767</f>
        <v>2018</v>
      </c>
      <c r="H768" s="20" t="str">
        <f t="shared" si="641"/>
        <v>iddbeo2018</v>
      </c>
      <c r="I768" s="20" t="str">
        <f t="shared" si="641"/>
        <v>Integração de dados baseada em ontologias</v>
      </c>
      <c r="J768" s="20" t="str">
        <f t="shared" si="2"/>
        <v/>
      </c>
      <c r="K768" s="20"/>
      <c r="L768" s="20" t="str">
        <f t="shared" si="3"/>
        <v/>
      </c>
      <c r="M768" s="18"/>
      <c r="N768" s="21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</row>
    <row r="769">
      <c r="A769" s="8"/>
      <c r="B769" s="23"/>
      <c r="C769" s="24"/>
      <c r="D769" s="24"/>
      <c r="E769" s="18"/>
      <c r="F769" s="18"/>
      <c r="G769" s="25">
        <f t="shared" ref="G769:I769" si="642">G768</f>
        <v>2018</v>
      </c>
      <c r="H769" s="20" t="str">
        <f t="shared" si="642"/>
        <v>iddbeo2018</v>
      </c>
      <c r="I769" s="20" t="str">
        <f t="shared" si="642"/>
        <v>Integração de dados baseada em ontologias</v>
      </c>
      <c r="J769" s="20" t="str">
        <f t="shared" si="2"/>
        <v/>
      </c>
      <c r="K769" s="20"/>
      <c r="L769" s="20" t="str">
        <f t="shared" si="3"/>
        <v/>
      </c>
      <c r="M769" s="18"/>
      <c r="N769" s="21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</row>
    <row r="770">
      <c r="A770" s="8" t="s">
        <v>54</v>
      </c>
      <c r="B770" s="9">
        <v>2018.0</v>
      </c>
      <c r="C770" s="10" t="s">
        <v>312</v>
      </c>
      <c r="D770" s="24"/>
      <c r="E770" s="18"/>
      <c r="F770" s="18"/>
      <c r="G770" s="12">
        <f>B770</f>
        <v>2018</v>
      </c>
      <c r="H770" s="13" t="str">
        <f>LOWER(left(O770,1)&amp;left(P770,1)&amp;left(Q770,1)&amp;left(R770,1)&amp;left(S770,1)&amp;left(T770,1))&amp;G770</f>
        <v>cdeddp2018</v>
      </c>
      <c r="I770" s="20" t="str">
        <f>trim(C770)</f>
        <v>Curadoria digital e dados de pesquisa</v>
      </c>
      <c r="J770" s="20" t="str">
        <f t="shared" si="2"/>
        <v/>
      </c>
      <c r="K770" s="30" t="s">
        <v>313</v>
      </c>
      <c r="L770" s="20" t="str">
        <f t="shared" si="3"/>
        <v>curadoria digital</v>
      </c>
      <c r="M770" s="18"/>
      <c r="N770" s="21" t="str">
        <f>IFERROR(__xludf.DUMMYFUNCTION("TRANSPOSE(split(D770,"";"",true,true))"),"#VALUE!")</f>
        <v>#VALUE!</v>
      </c>
      <c r="O770" s="6" t="str">
        <f>IFERROR(__xludf.DUMMYFUNCTION("split(C770,"" "")"),"Curadoria")</f>
        <v>Curadoria</v>
      </c>
      <c r="P770" s="18" t="str">
        <f>IFERROR(__xludf.DUMMYFUNCTION("""COMPUTED_VALUE"""),"digital")</f>
        <v>digital</v>
      </c>
      <c r="Q770" s="18" t="str">
        <f>IFERROR(__xludf.DUMMYFUNCTION("""COMPUTED_VALUE"""),"e")</f>
        <v>e</v>
      </c>
      <c r="R770" s="18" t="str">
        <f>IFERROR(__xludf.DUMMYFUNCTION("""COMPUTED_VALUE"""),"dados")</f>
        <v>dados</v>
      </c>
      <c r="S770" s="18" t="str">
        <f>IFERROR(__xludf.DUMMYFUNCTION("""COMPUTED_VALUE"""),"de")</f>
        <v>de</v>
      </c>
      <c r="T770" s="18" t="str">
        <f>IFERROR(__xludf.DUMMYFUNCTION("""COMPUTED_VALUE"""),"pesquisa")</f>
        <v>pesquisa</v>
      </c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</row>
    <row r="771">
      <c r="A771" s="22"/>
      <c r="B771" s="23"/>
      <c r="C771" s="24"/>
      <c r="D771" s="24"/>
      <c r="E771" s="18"/>
      <c r="F771" s="18"/>
      <c r="G771" s="25">
        <f t="shared" ref="G771:I771" si="643">G770</f>
        <v>2018</v>
      </c>
      <c r="H771" s="20" t="str">
        <f t="shared" si="643"/>
        <v>cdeddp2018</v>
      </c>
      <c r="I771" s="20" t="str">
        <f t="shared" si="643"/>
        <v>Curadoria digital e dados de pesquisa</v>
      </c>
      <c r="J771" s="20" t="str">
        <f t="shared" si="2"/>
        <v/>
      </c>
      <c r="K771" s="30" t="s">
        <v>314</v>
      </c>
      <c r="L771" s="20" t="str">
        <f t="shared" si="3"/>
        <v>dados de pesquisa</v>
      </c>
      <c r="M771" s="18"/>
      <c r="N771" s="21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</row>
    <row r="772">
      <c r="A772" s="22"/>
      <c r="B772" s="23"/>
      <c r="C772" s="24"/>
      <c r="D772" s="24"/>
      <c r="E772" s="18"/>
      <c r="F772" s="18"/>
      <c r="G772" s="25">
        <f t="shared" ref="G772:I772" si="644">G771</f>
        <v>2018</v>
      </c>
      <c r="H772" s="20" t="str">
        <f t="shared" si="644"/>
        <v>cdeddp2018</v>
      </c>
      <c r="I772" s="20" t="str">
        <f t="shared" si="644"/>
        <v>Curadoria digital e dados de pesquisa</v>
      </c>
      <c r="J772" s="20" t="str">
        <f t="shared" si="2"/>
        <v/>
      </c>
      <c r="K772" s="20"/>
      <c r="L772" s="20" t="str">
        <f t="shared" si="3"/>
        <v/>
      </c>
      <c r="M772" s="18"/>
      <c r="N772" s="21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</row>
    <row r="773">
      <c r="A773" s="22"/>
      <c r="B773" s="23"/>
      <c r="C773" s="24"/>
      <c r="D773" s="24"/>
      <c r="E773" s="18"/>
      <c r="F773" s="18"/>
      <c r="G773" s="25">
        <f t="shared" ref="G773:I773" si="645">G772</f>
        <v>2018</v>
      </c>
      <c r="H773" s="20" t="str">
        <f t="shared" si="645"/>
        <v>cdeddp2018</v>
      </c>
      <c r="I773" s="20" t="str">
        <f t="shared" si="645"/>
        <v>Curadoria digital e dados de pesquisa</v>
      </c>
      <c r="J773" s="20" t="str">
        <f t="shared" si="2"/>
        <v/>
      </c>
      <c r="K773" s="20"/>
      <c r="L773" s="20" t="str">
        <f t="shared" si="3"/>
        <v/>
      </c>
      <c r="M773" s="18"/>
      <c r="N773" s="21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</row>
    <row r="774">
      <c r="A774" s="22"/>
      <c r="B774" s="23"/>
      <c r="C774" s="24"/>
      <c r="D774" s="24"/>
      <c r="E774" s="18"/>
      <c r="F774" s="18"/>
      <c r="G774" s="25">
        <f t="shared" ref="G774:I774" si="646">G773</f>
        <v>2018</v>
      </c>
      <c r="H774" s="20" t="str">
        <f t="shared" si="646"/>
        <v>cdeddp2018</v>
      </c>
      <c r="I774" s="20" t="str">
        <f t="shared" si="646"/>
        <v>Curadoria digital e dados de pesquisa</v>
      </c>
      <c r="J774" s="20" t="str">
        <f t="shared" si="2"/>
        <v/>
      </c>
      <c r="K774" s="20"/>
      <c r="L774" s="20" t="str">
        <f t="shared" si="3"/>
        <v/>
      </c>
      <c r="M774" s="18"/>
      <c r="N774" s="21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</row>
    <row r="775">
      <c r="A775" s="8"/>
      <c r="B775" s="23"/>
      <c r="C775" s="24"/>
      <c r="D775" s="24"/>
      <c r="E775" s="18"/>
      <c r="F775" s="18"/>
      <c r="G775" s="25">
        <f t="shared" ref="G775:I775" si="647">G774</f>
        <v>2018</v>
      </c>
      <c r="H775" s="20" t="str">
        <f t="shared" si="647"/>
        <v>cdeddp2018</v>
      </c>
      <c r="I775" s="20" t="str">
        <f t="shared" si="647"/>
        <v>Curadoria digital e dados de pesquisa</v>
      </c>
      <c r="J775" s="20" t="str">
        <f t="shared" si="2"/>
        <v/>
      </c>
      <c r="K775" s="20"/>
      <c r="L775" s="20" t="str">
        <f t="shared" si="3"/>
        <v/>
      </c>
      <c r="M775" s="18"/>
      <c r="N775" s="21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</row>
    <row r="776">
      <c r="A776" s="8" t="s">
        <v>54</v>
      </c>
      <c r="B776" s="9">
        <v>2018.0</v>
      </c>
      <c r="C776" s="10" t="s">
        <v>315</v>
      </c>
      <c r="D776" s="24"/>
      <c r="E776" s="18"/>
      <c r="F776" s="18"/>
      <c r="G776" s="12">
        <f>B776</f>
        <v>2018</v>
      </c>
      <c r="H776" s="13" t="str">
        <f>LOWER(left(O776,1)&amp;left(P776,1)&amp;left(Q776,1)&amp;left(R776,1)&amp;left(S776,1)&amp;left(T776,1))&amp;G776</f>
        <v>ibpddp2018</v>
      </c>
      <c r="I776" s="20" t="str">
        <f>trim(C776)</f>
        <v>Infraestrutura brasileira para dados de pesquisa: reflexões</v>
      </c>
      <c r="J776" s="20" t="str">
        <f t="shared" si="2"/>
        <v/>
      </c>
      <c r="K776" s="30" t="s">
        <v>314</v>
      </c>
      <c r="L776" s="20" t="str">
        <f t="shared" si="3"/>
        <v>dados de pesquisa</v>
      </c>
      <c r="M776" s="18"/>
      <c r="N776" s="21" t="str">
        <f>IFERROR(__xludf.DUMMYFUNCTION("TRANSPOSE(split(D776,"";"",true,true))"),"#VALUE!")</f>
        <v>#VALUE!</v>
      </c>
      <c r="O776" s="6" t="str">
        <f>IFERROR(__xludf.DUMMYFUNCTION("split(C776,"" "")"),"Infraestrutura")</f>
        <v>Infraestrutura</v>
      </c>
      <c r="P776" s="18" t="str">
        <f>IFERROR(__xludf.DUMMYFUNCTION("""COMPUTED_VALUE"""),"brasileira")</f>
        <v>brasileira</v>
      </c>
      <c r="Q776" s="18" t="str">
        <f>IFERROR(__xludf.DUMMYFUNCTION("""COMPUTED_VALUE"""),"para")</f>
        <v>para</v>
      </c>
      <c r="R776" s="18" t="str">
        <f>IFERROR(__xludf.DUMMYFUNCTION("""COMPUTED_VALUE"""),"dados")</f>
        <v>dados</v>
      </c>
      <c r="S776" s="18" t="str">
        <f>IFERROR(__xludf.DUMMYFUNCTION("""COMPUTED_VALUE"""),"de")</f>
        <v>de</v>
      </c>
      <c r="T776" s="18" t="str">
        <f>IFERROR(__xludf.DUMMYFUNCTION("""COMPUTED_VALUE"""),"pesquisa:")</f>
        <v>pesquisa:</v>
      </c>
      <c r="U776" s="18" t="str">
        <f>IFERROR(__xludf.DUMMYFUNCTION("""COMPUTED_VALUE"""),"reflexões")</f>
        <v>reflexões</v>
      </c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</row>
    <row r="777">
      <c r="A777" s="8"/>
      <c r="B777" s="23"/>
      <c r="C777" s="24"/>
      <c r="D777" s="24"/>
      <c r="E777" s="18"/>
      <c r="F777" s="18"/>
      <c r="G777" s="25">
        <f t="shared" ref="G777:I777" si="648">G776</f>
        <v>2018</v>
      </c>
      <c r="H777" s="20" t="str">
        <f t="shared" si="648"/>
        <v>ibpddp2018</v>
      </c>
      <c r="I777" s="20" t="str">
        <f t="shared" si="648"/>
        <v>Infraestrutura brasileira para dados de pesquisa: reflexões</v>
      </c>
      <c r="J777" s="20" t="str">
        <f t="shared" si="2"/>
        <v/>
      </c>
      <c r="K777" s="30" t="s">
        <v>316</v>
      </c>
      <c r="L777" s="20" t="str">
        <f t="shared" si="3"/>
        <v>infraestrutura</v>
      </c>
      <c r="M777" s="18"/>
      <c r="N777" s="21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</row>
    <row r="778">
      <c r="A778" s="22"/>
      <c r="B778" s="23"/>
      <c r="C778" s="24"/>
      <c r="D778" s="24"/>
      <c r="E778" s="18"/>
      <c r="F778" s="18"/>
      <c r="G778" s="25">
        <f t="shared" ref="G778:I778" si="649">G777</f>
        <v>2018</v>
      </c>
      <c r="H778" s="20" t="str">
        <f t="shared" si="649"/>
        <v>ibpddp2018</v>
      </c>
      <c r="I778" s="20" t="str">
        <f t="shared" si="649"/>
        <v>Infraestrutura brasileira para dados de pesquisa: reflexões</v>
      </c>
      <c r="J778" s="20" t="str">
        <f t="shared" si="2"/>
        <v/>
      </c>
      <c r="K778" s="20"/>
      <c r="L778" s="20" t="str">
        <f t="shared" si="3"/>
        <v/>
      </c>
      <c r="M778" s="18"/>
      <c r="N778" s="21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</row>
    <row r="779">
      <c r="A779" s="22"/>
      <c r="B779" s="23"/>
      <c r="C779" s="24"/>
      <c r="D779" s="24"/>
      <c r="E779" s="18"/>
      <c r="F779" s="18"/>
      <c r="G779" s="25">
        <f t="shared" ref="G779:I779" si="650">G778</f>
        <v>2018</v>
      </c>
      <c r="H779" s="20" t="str">
        <f t="shared" si="650"/>
        <v>ibpddp2018</v>
      </c>
      <c r="I779" s="20" t="str">
        <f t="shared" si="650"/>
        <v>Infraestrutura brasileira para dados de pesquisa: reflexões</v>
      </c>
      <c r="J779" s="20" t="str">
        <f t="shared" si="2"/>
        <v/>
      </c>
      <c r="K779" s="20"/>
      <c r="L779" s="20" t="str">
        <f t="shared" si="3"/>
        <v/>
      </c>
      <c r="M779" s="18"/>
      <c r="N779" s="21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</row>
    <row r="780">
      <c r="A780" s="22"/>
      <c r="B780" s="23"/>
      <c r="C780" s="24"/>
      <c r="D780" s="24"/>
      <c r="E780" s="18"/>
      <c r="F780" s="18"/>
      <c r="G780" s="25">
        <f t="shared" ref="G780:I780" si="651">G779</f>
        <v>2018</v>
      </c>
      <c r="H780" s="20" t="str">
        <f t="shared" si="651"/>
        <v>ibpddp2018</v>
      </c>
      <c r="I780" s="20" t="str">
        <f t="shared" si="651"/>
        <v>Infraestrutura brasileira para dados de pesquisa: reflexões</v>
      </c>
      <c r="J780" s="20" t="str">
        <f t="shared" si="2"/>
        <v/>
      </c>
      <c r="K780" s="20"/>
      <c r="L780" s="20" t="str">
        <f t="shared" si="3"/>
        <v/>
      </c>
      <c r="M780" s="18"/>
      <c r="N780" s="21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</row>
    <row r="781">
      <c r="A781" s="8"/>
      <c r="B781" s="23"/>
      <c r="C781" s="24"/>
      <c r="D781" s="24"/>
      <c r="E781" s="18"/>
      <c r="F781" s="18"/>
      <c r="G781" s="25">
        <f t="shared" ref="G781:I781" si="652">G780</f>
        <v>2018</v>
      </c>
      <c r="H781" s="20" t="str">
        <f t="shared" si="652"/>
        <v>ibpddp2018</v>
      </c>
      <c r="I781" s="20" t="str">
        <f t="shared" si="652"/>
        <v>Infraestrutura brasileira para dados de pesquisa: reflexões</v>
      </c>
      <c r="J781" s="20" t="str">
        <f t="shared" si="2"/>
        <v/>
      </c>
      <c r="K781" s="20"/>
      <c r="L781" s="20" t="str">
        <f t="shared" si="3"/>
        <v/>
      </c>
      <c r="M781" s="18"/>
      <c r="N781" s="21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</row>
    <row r="782">
      <c r="A782" s="8" t="s">
        <v>54</v>
      </c>
      <c r="B782" s="9">
        <v>2018.0</v>
      </c>
      <c r="C782" s="10" t="s">
        <v>317</v>
      </c>
      <c r="D782" s="24"/>
      <c r="E782" s="18"/>
      <c r="F782" s="18"/>
      <c r="G782" s="12">
        <f>B782</f>
        <v>2018</v>
      </c>
      <c r="H782" s="13" t="str">
        <f>LOWER(left(O782,1)&amp;left(P782,1)&amp;left(Q782,1)&amp;left(R782,1)&amp;left(S782,1)&amp;left(T782,1))&amp;G782</f>
        <v>tmoudd2018</v>
      </c>
      <c r="I782" s="20" t="str">
        <f>trim(C782)</f>
        <v>Text Mining: o uso de dados não-estruturados como insumo para extração de inteligência</v>
      </c>
      <c r="J782" s="20" t="str">
        <f t="shared" si="2"/>
        <v/>
      </c>
      <c r="K782" s="30" t="s">
        <v>318</v>
      </c>
      <c r="L782" s="20" t="str">
        <f t="shared" si="3"/>
        <v>mineração de texto</v>
      </c>
      <c r="M782" s="18"/>
      <c r="N782" s="21" t="str">
        <f>IFERROR(__xludf.DUMMYFUNCTION("TRANSPOSE(split(D782,"";"",true,true))"),"#VALUE!")</f>
        <v>#VALUE!</v>
      </c>
      <c r="O782" s="6" t="str">
        <f>IFERROR(__xludf.DUMMYFUNCTION("split(C782,"" "")"),"Text")</f>
        <v>Text</v>
      </c>
      <c r="P782" s="18" t="str">
        <f>IFERROR(__xludf.DUMMYFUNCTION("""COMPUTED_VALUE"""),"Mining:")</f>
        <v>Mining:</v>
      </c>
      <c r="Q782" s="18" t="str">
        <f>IFERROR(__xludf.DUMMYFUNCTION("""COMPUTED_VALUE"""),"o")</f>
        <v>o</v>
      </c>
      <c r="R782" s="18" t="str">
        <f>IFERROR(__xludf.DUMMYFUNCTION("""COMPUTED_VALUE"""),"uso")</f>
        <v>uso</v>
      </c>
      <c r="S782" s="18" t="str">
        <f>IFERROR(__xludf.DUMMYFUNCTION("""COMPUTED_VALUE"""),"de")</f>
        <v>de</v>
      </c>
      <c r="T782" s="18" t="str">
        <f>IFERROR(__xludf.DUMMYFUNCTION("""COMPUTED_VALUE"""),"dados")</f>
        <v>dados</v>
      </c>
      <c r="U782" s="18" t="str">
        <f>IFERROR(__xludf.DUMMYFUNCTION("""COMPUTED_VALUE"""),"não-estruturados")</f>
        <v>não-estruturados</v>
      </c>
      <c r="V782" s="18" t="str">
        <f>IFERROR(__xludf.DUMMYFUNCTION("""COMPUTED_VALUE"""),"como")</f>
        <v>como</v>
      </c>
      <c r="W782" s="18" t="str">
        <f>IFERROR(__xludf.DUMMYFUNCTION("""COMPUTED_VALUE"""),"insumo")</f>
        <v>insumo</v>
      </c>
      <c r="X782" s="18" t="str">
        <f>IFERROR(__xludf.DUMMYFUNCTION("""COMPUTED_VALUE"""),"para")</f>
        <v>para</v>
      </c>
      <c r="Y782" s="18" t="str">
        <f>IFERROR(__xludf.DUMMYFUNCTION("""COMPUTED_VALUE"""),"extração")</f>
        <v>extração</v>
      </c>
      <c r="Z782" s="18" t="str">
        <f>IFERROR(__xludf.DUMMYFUNCTION("""COMPUTED_VALUE"""),"de")</f>
        <v>de</v>
      </c>
      <c r="AA782" s="18" t="str">
        <f>IFERROR(__xludf.DUMMYFUNCTION("""COMPUTED_VALUE"""),"inteligência")</f>
        <v>inteligência</v>
      </c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</row>
    <row r="783">
      <c r="A783" s="8"/>
      <c r="B783" s="23"/>
      <c r="C783" s="24"/>
      <c r="D783" s="24"/>
      <c r="E783" s="18"/>
      <c r="F783" s="18"/>
      <c r="G783" s="25">
        <f t="shared" ref="G783:I783" si="653">G782</f>
        <v>2018</v>
      </c>
      <c r="H783" s="20" t="str">
        <f t="shared" si="653"/>
        <v>tmoudd2018</v>
      </c>
      <c r="I783" s="20" t="str">
        <f t="shared" si="653"/>
        <v>Text Mining: o uso de dados não-estruturados como insumo para extração de inteligência</v>
      </c>
      <c r="J783" s="20" t="str">
        <f t="shared" si="2"/>
        <v/>
      </c>
      <c r="K783" s="30" t="s">
        <v>319</v>
      </c>
      <c r="L783" s="20" t="str">
        <f t="shared" si="3"/>
        <v>dados não-estruturados</v>
      </c>
      <c r="M783" s="18"/>
      <c r="N783" s="21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</row>
    <row r="784">
      <c r="A784" s="22"/>
      <c r="B784" s="23"/>
      <c r="C784" s="24"/>
      <c r="D784" s="24"/>
      <c r="E784" s="18"/>
      <c r="F784" s="18"/>
      <c r="G784" s="25">
        <f t="shared" ref="G784:I784" si="654">G783</f>
        <v>2018</v>
      </c>
      <c r="H784" s="20" t="str">
        <f t="shared" si="654"/>
        <v>tmoudd2018</v>
      </c>
      <c r="I784" s="20" t="str">
        <f t="shared" si="654"/>
        <v>Text Mining: o uso de dados não-estruturados como insumo para extração de inteligência</v>
      </c>
      <c r="J784" s="20" t="str">
        <f t="shared" si="2"/>
        <v/>
      </c>
      <c r="K784" s="30" t="s">
        <v>320</v>
      </c>
      <c r="L784" s="20" t="str">
        <f t="shared" si="3"/>
        <v>extração de inteligência</v>
      </c>
      <c r="M784" s="18"/>
      <c r="N784" s="21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</row>
    <row r="785">
      <c r="A785" s="22"/>
      <c r="B785" s="23"/>
      <c r="C785" s="24"/>
      <c r="D785" s="24"/>
      <c r="E785" s="18"/>
      <c r="F785" s="18"/>
      <c r="G785" s="25">
        <f t="shared" ref="G785:I785" si="655">G784</f>
        <v>2018</v>
      </c>
      <c r="H785" s="20" t="str">
        <f t="shared" si="655"/>
        <v>tmoudd2018</v>
      </c>
      <c r="I785" s="20" t="str">
        <f t="shared" si="655"/>
        <v>Text Mining: o uso de dados não-estruturados como insumo para extração de inteligência</v>
      </c>
      <c r="J785" s="20" t="str">
        <f t="shared" si="2"/>
        <v/>
      </c>
      <c r="K785" s="20"/>
      <c r="L785" s="20" t="str">
        <f t="shared" si="3"/>
        <v/>
      </c>
      <c r="M785" s="18"/>
      <c r="N785" s="21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</row>
    <row r="786">
      <c r="A786" s="22"/>
      <c r="B786" s="23"/>
      <c r="C786" s="24"/>
      <c r="D786" s="24"/>
      <c r="E786" s="18"/>
      <c r="F786" s="18"/>
      <c r="G786" s="25">
        <f t="shared" ref="G786:I786" si="656">G785</f>
        <v>2018</v>
      </c>
      <c r="H786" s="20" t="str">
        <f t="shared" si="656"/>
        <v>tmoudd2018</v>
      </c>
      <c r="I786" s="20" t="str">
        <f t="shared" si="656"/>
        <v>Text Mining: o uso de dados não-estruturados como insumo para extração de inteligência</v>
      </c>
      <c r="J786" s="20" t="str">
        <f t="shared" si="2"/>
        <v/>
      </c>
      <c r="K786" s="20"/>
      <c r="L786" s="20" t="str">
        <f t="shared" si="3"/>
        <v/>
      </c>
      <c r="M786" s="18"/>
      <c r="N786" s="21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</row>
    <row r="787">
      <c r="A787" s="8"/>
      <c r="B787" s="23"/>
      <c r="C787" s="24"/>
      <c r="D787" s="24"/>
      <c r="E787" s="18"/>
      <c r="F787" s="18"/>
      <c r="G787" s="25">
        <f t="shared" ref="G787:I787" si="657">G786</f>
        <v>2018</v>
      </c>
      <c r="H787" s="20" t="str">
        <f t="shared" si="657"/>
        <v>tmoudd2018</v>
      </c>
      <c r="I787" s="20" t="str">
        <f t="shared" si="657"/>
        <v>Text Mining: o uso de dados não-estruturados como insumo para extração de inteligência</v>
      </c>
      <c r="J787" s="20" t="str">
        <f t="shared" si="2"/>
        <v/>
      </c>
      <c r="K787" s="20"/>
      <c r="L787" s="20" t="str">
        <f t="shared" si="3"/>
        <v/>
      </c>
      <c r="M787" s="18"/>
      <c r="N787" s="21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</row>
    <row r="788">
      <c r="A788" s="8" t="s">
        <v>54</v>
      </c>
      <c r="B788" s="9">
        <v>2018.0</v>
      </c>
      <c r="C788" s="10" t="s">
        <v>321</v>
      </c>
      <c r="D788" s="10" t="s">
        <v>322</v>
      </c>
      <c r="E788" s="18"/>
      <c r="F788" s="18"/>
      <c r="G788" s="12">
        <f>B788</f>
        <v>2018</v>
      </c>
      <c r="H788" s="13" t="str">
        <f>LOWER(left(O788,1)&amp;left(P788,1)&amp;left(Q788,1)&amp;left(R788,1)&amp;left(S788,1)&amp;left(T788,1))&amp;G788</f>
        <v>opdbnp2018</v>
      </c>
      <c r="I788" s="20" t="str">
        <f>trim(C788)</f>
        <v>O papel do bibliotecário no processo de recuperação da informação</v>
      </c>
      <c r="J788" s="20" t="str">
        <f t="shared" si="2"/>
        <v>Recuperação da informação</v>
      </c>
      <c r="K788" s="20"/>
      <c r="L788" s="20" t="str">
        <f t="shared" si="3"/>
        <v>recuperação da informação</v>
      </c>
      <c r="M788" s="18"/>
      <c r="N788" s="21" t="str">
        <f>IFERROR(__xludf.DUMMYFUNCTION("TRANSPOSE(split(D788,"";"",true,true))"),"Recuperação da informação")</f>
        <v>Recuperação da informação</v>
      </c>
      <c r="O788" s="6" t="str">
        <f>IFERROR(__xludf.DUMMYFUNCTION("split(C788,"" "")"),"O")</f>
        <v>O</v>
      </c>
      <c r="P788" s="18" t="str">
        <f>IFERROR(__xludf.DUMMYFUNCTION("""COMPUTED_VALUE"""),"papel")</f>
        <v>papel</v>
      </c>
      <c r="Q788" s="18" t="str">
        <f>IFERROR(__xludf.DUMMYFUNCTION("""COMPUTED_VALUE"""),"do")</f>
        <v>do</v>
      </c>
      <c r="R788" s="18" t="str">
        <f>IFERROR(__xludf.DUMMYFUNCTION("""COMPUTED_VALUE"""),"bibliotecário")</f>
        <v>bibliotecário</v>
      </c>
      <c r="S788" s="18" t="str">
        <f>IFERROR(__xludf.DUMMYFUNCTION("""COMPUTED_VALUE"""),"no")</f>
        <v>no</v>
      </c>
      <c r="T788" s="18" t="str">
        <f>IFERROR(__xludf.DUMMYFUNCTION("""COMPUTED_VALUE"""),"processo")</f>
        <v>processo</v>
      </c>
      <c r="U788" s="18" t="str">
        <f>IFERROR(__xludf.DUMMYFUNCTION("""COMPUTED_VALUE"""),"de")</f>
        <v>de</v>
      </c>
      <c r="V788" s="18" t="str">
        <f>IFERROR(__xludf.DUMMYFUNCTION("""COMPUTED_VALUE"""),"recuperação")</f>
        <v>recuperação</v>
      </c>
      <c r="W788" s="18" t="str">
        <f>IFERROR(__xludf.DUMMYFUNCTION("""COMPUTED_VALUE"""),"da")</f>
        <v>da</v>
      </c>
      <c r="X788" s="18" t="str">
        <f>IFERROR(__xludf.DUMMYFUNCTION("""COMPUTED_VALUE"""),"informação")</f>
        <v>informação</v>
      </c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</row>
    <row r="789">
      <c r="A789" s="22"/>
      <c r="B789" s="23"/>
      <c r="C789" s="24"/>
      <c r="D789" s="24"/>
      <c r="E789" s="18"/>
      <c r="F789" s="18"/>
      <c r="G789" s="25">
        <f t="shared" ref="G789:I789" si="658">G788</f>
        <v>2018</v>
      </c>
      <c r="H789" s="20" t="str">
        <f t="shared" si="658"/>
        <v>opdbnp2018</v>
      </c>
      <c r="I789" s="20" t="str">
        <f t="shared" si="658"/>
        <v>O papel do bibliotecário no processo de recuperação da informação</v>
      </c>
      <c r="J789" s="20" t="str">
        <f t="shared" si="2"/>
        <v>Papel do bibliotecário</v>
      </c>
      <c r="K789" s="20"/>
      <c r="L789" s="20" t="str">
        <f t="shared" si="3"/>
        <v>papel do bibliotecário</v>
      </c>
      <c r="M789" s="18"/>
      <c r="N789" s="21" t="str">
        <f>IFERROR(__xludf.DUMMYFUNCTION("""COMPUTED_VALUE""")," Papel do bibliotecário")</f>
        <v> Papel do bibliotecário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</row>
    <row r="790">
      <c r="A790" s="22"/>
      <c r="B790" s="23"/>
      <c r="C790" s="24"/>
      <c r="D790" s="24"/>
      <c r="E790" s="18"/>
      <c r="F790" s="18"/>
      <c r="G790" s="25">
        <f t="shared" ref="G790:I790" si="659">G789</f>
        <v>2018</v>
      </c>
      <c r="H790" s="20" t="str">
        <f t="shared" si="659"/>
        <v>opdbnp2018</v>
      </c>
      <c r="I790" s="20" t="str">
        <f t="shared" si="659"/>
        <v>O papel do bibliotecário no processo de recuperação da informação</v>
      </c>
      <c r="J790" s="20" t="str">
        <f t="shared" si="2"/>
        <v>Usuário</v>
      </c>
      <c r="K790" s="20"/>
      <c r="L790" s="20" t="str">
        <f t="shared" si="3"/>
        <v>usuário</v>
      </c>
      <c r="M790" s="18"/>
      <c r="N790" s="21" t="str">
        <f>IFERROR(__xludf.DUMMYFUNCTION("""COMPUTED_VALUE""")," Usuário")</f>
        <v> Usuário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</row>
    <row r="791">
      <c r="A791" s="22"/>
      <c r="B791" s="23"/>
      <c r="C791" s="24"/>
      <c r="D791" s="24"/>
      <c r="E791" s="18"/>
      <c r="F791" s="18"/>
      <c r="G791" s="25">
        <f t="shared" ref="G791:I791" si="660">G790</f>
        <v>2018</v>
      </c>
      <c r="H791" s="20" t="str">
        <f t="shared" si="660"/>
        <v>opdbnp2018</v>
      </c>
      <c r="I791" s="20" t="str">
        <f t="shared" si="660"/>
        <v>O papel do bibliotecário no processo de recuperação da informação</v>
      </c>
      <c r="J791" s="20" t="str">
        <f t="shared" si="2"/>
        <v/>
      </c>
      <c r="K791" s="20"/>
      <c r="L791" s="20" t="str">
        <f t="shared" si="3"/>
        <v/>
      </c>
      <c r="M791" s="18"/>
      <c r="N791" s="21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</row>
    <row r="792">
      <c r="A792" s="22"/>
      <c r="B792" s="23"/>
      <c r="C792" s="24"/>
      <c r="D792" s="24"/>
      <c r="E792" s="18"/>
      <c r="F792" s="18"/>
      <c r="G792" s="25">
        <f t="shared" ref="G792:I792" si="661">G791</f>
        <v>2018</v>
      </c>
      <c r="H792" s="20" t="str">
        <f t="shared" si="661"/>
        <v>opdbnp2018</v>
      </c>
      <c r="I792" s="20" t="str">
        <f t="shared" si="661"/>
        <v>O papel do bibliotecário no processo de recuperação da informação</v>
      </c>
      <c r="J792" s="20" t="str">
        <f t="shared" si="2"/>
        <v/>
      </c>
      <c r="K792" s="20"/>
      <c r="L792" s="20" t="str">
        <f t="shared" si="3"/>
        <v/>
      </c>
      <c r="M792" s="18"/>
      <c r="N792" s="21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</row>
    <row r="793">
      <c r="A793" s="8"/>
      <c r="B793" s="23"/>
      <c r="C793" s="24"/>
      <c r="D793" s="24"/>
      <c r="E793" s="18"/>
      <c r="F793" s="18"/>
      <c r="G793" s="25">
        <f t="shared" ref="G793:I793" si="662">G792</f>
        <v>2018</v>
      </c>
      <c r="H793" s="20" t="str">
        <f t="shared" si="662"/>
        <v>opdbnp2018</v>
      </c>
      <c r="I793" s="20" t="str">
        <f t="shared" si="662"/>
        <v>O papel do bibliotecário no processo de recuperação da informação</v>
      </c>
      <c r="J793" s="20" t="str">
        <f t="shared" si="2"/>
        <v/>
      </c>
      <c r="K793" s="20"/>
      <c r="L793" s="20" t="str">
        <f t="shared" si="3"/>
        <v/>
      </c>
      <c r="M793" s="18"/>
      <c r="N793" s="21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</row>
    <row r="794">
      <c r="A794" s="8" t="s">
        <v>54</v>
      </c>
      <c r="B794" s="9">
        <v>2018.0</v>
      </c>
      <c r="C794" s="10" t="s">
        <v>323</v>
      </c>
      <c r="D794" s="24"/>
      <c r="E794" s="18"/>
      <c r="F794" s="18"/>
      <c r="G794" s="12">
        <f>B794</f>
        <v>2018</v>
      </c>
      <c r="H794" s="13" t="str">
        <f>LOWER(left(O794,1)&amp;left(P794,1)&amp;left(Q794,1)&amp;left(R794,1)&amp;left(S794,1)&amp;left(T794,1))&amp;G794</f>
        <v>agdddp2018</v>
      </c>
      <c r="I794" s="20" t="str">
        <f>trim(C794)</f>
        <v>A Gestão dos dados de pesquisa no contexto dos pesquisadores brasileiros na CI</v>
      </c>
      <c r="J794" s="20" t="str">
        <f t="shared" si="2"/>
        <v/>
      </c>
      <c r="K794" s="30" t="s">
        <v>324</v>
      </c>
      <c r="L794" s="20" t="str">
        <f t="shared" si="3"/>
        <v>gestão de dados</v>
      </c>
      <c r="M794" s="18"/>
      <c r="N794" s="21" t="str">
        <f>IFERROR(__xludf.DUMMYFUNCTION("TRANSPOSE(split(D794,"";"",true,true))"),"#VALUE!")</f>
        <v>#VALUE!</v>
      </c>
      <c r="O794" s="6" t="str">
        <f>IFERROR(__xludf.DUMMYFUNCTION("split(C794,"" "")"),"A")</f>
        <v>A</v>
      </c>
      <c r="P794" s="18" t="str">
        <f>IFERROR(__xludf.DUMMYFUNCTION("""COMPUTED_VALUE"""),"Gestão")</f>
        <v>Gestão</v>
      </c>
      <c r="Q794" s="18" t="str">
        <f>IFERROR(__xludf.DUMMYFUNCTION("""COMPUTED_VALUE"""),"dos")</f>
        <v>dos</v>
      </c>
      <c r="R794" s="18" t="str">
        <f>IFERROR(__xludf.DUMMYFUNCTION("""COMPUTED_VALUE"""),"dados")</f>
        <v>dados</v>
      </c>
      <c r="S794" s="18" t="str">
        <f>IFERROR(__xludf.DUMMYFUNCTION("""COMPUTED_VALUE"""),"de")</f>
        <v>de</v>
      </c>
      <c r="T794" s="18" t="str">
        <f>IFERROR(__xludf.DUMMYFUNCTION("""COMPUTED_VALUE"""),"pesquisa")</f>
        <v>pesquisa</v>
      </c>
      <c r="U794" s="18" t="str">
        <f>IFERROR(__xludf.DUMMYFUNCTION("""COMPUTED_VALUE"""),"no")</f>
        <v>no</v>
      </c>
      <c r="V794" s="18" t="str">
        <f>IFERROR(__xludf.DUMMYFUNCTION("""COMPUTED_VALUE"""),"contexto")</f>
        <v>contexto</v>
      </c>
      <c r="W794" s="18" t="str">
        <f>IFERROR(__xludf.DUMMYFUNCTION("""COMPUTED_VALUE"""),"dos")</f>
        <v>dos</v>
      </c>
      <c r="X794" s="18" t="str">
        <f>IFERROR(__xludf.DUMMYFUNCTION("""COMPUTED_VALUE"""),"pesquisadores")</f>
        <v>pesquisadores</v>
      </c>
      <c r="Y794" s="18" t="str">
        <f>IFERROR(__xludf.DUMMYFUNCTION("""COMPUTED_VALUE"""),"brasileiros")</f>
        <v>brasileiros</v>
      </c>
      <c r="Z794" s="18" t="str">
        <f>IFERROR(__xludf.DUMMYFUNCTION("""COMPUTED_VALUE"""),"na")</f>
        <v>na</v>
      </c>
      <c r="AA794" s="18" t="str">
        <f>IFERROR(__xludf.DUMMYFUNCTION("""COMPUTED_VALUE"""),"CI")</f>
        <v>CI</v>
      </c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</row>
    <row r="795">
      <c r="A795" s="22"/>
      <c r="B795" s="23"/>
      <c r="C795" s="24"/>
      <c r="D795" s="24"/>
      <c r="E795" s="18"/>
      <c r="F795" s="18"/>
      <c r="G795" s="25">
        <f t="shared" ref="G795:I795" si="663">G794</f>
        <v>2018</v>
      </c>
      <c r="H795" s="20" t="str">
        <f t="shared" si="663"/>
        <v>agdddp2018</v>
      </c>
      <c r="I795" s="20" t="str">
        <f t="shared" si="663"/>
        <v>A Gestão dos dados de pesquisa no contexto dos pesquisadores brasileiros na CI</v>
      </c>
      <c r="J795" s="20" t="str">
        <f t="shared" si="2"/>
        <v/>
      </c>
      <c r="K795" s="30" t="s">
        <v>314</v>
      </c>
      <c r="L795" s="20" t="str">
        <f t="shared" si="3"/>
        <v>dados de pesquisa</v>
      </c>
      <c r="M795" s="18"/>
      <c r="N795" s="21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</row>
    <row r="796">
      <c r="A796" s="22"/>
      <c r="B796" s="23"/>
      <c r="C796" s="24"/>
      <c r="D796" s="24"/>
      <c r="E796" s="18"/>
      <c r="F796" s="18"/>
      <c r="G796" s="25">
        <f t="shared" ref="G796:I796" si="664">G795</f>
        <v>2018</v>
      </c>
      <c r="H796" s="20" t="str">
        <f t="shared" si="664"/>
        <v>agdddp2018</v>
      </c>
      <c r="I796" s="20" t="str">
        <f t="shared" si="664"/>
        <v>A Gestão dos dados de pesquisa no contexto dos pesquisadores brasileiros na CI</v>
      </c>
      <c r="J796" s="20" t="str">
        <f t="shared" si="2"/>
        <v/>
      </c>
      <c r="K796" s="30" t="s">
        <v>325</v>
      </c>
      <c r="L796" s="20" t="str">
        <f t="shared" si="3"/>
        <v>pesquisadores brasileiros</v>
      </c>
      <c r="M796" s="18"/>
      <c r="N796" s="21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</row>
    <row r="797">
      <c r="A797" s="22"/>
      <c r="B797" s="23"/>
      <c r="C797" s="24"/>
      <c r="D797" s="24"/>
      <c r="E797" s="18"/>
      <c r="F797" s="18"/>
      <c r="G797" s="25">
        <f t="shared" ref="G797:I797" si="665">G796</f>
        <v>2018</v>
      </c>
      <c r="H797" s="20" t="str">
        <f t="shared" si="665"/>
        <v>agdddp2018</v>
      </c>
      <c r="I797" s="20" t="str">
        <f t="shared" si="665"/>
        <v>A Gestão dos dados de pesquisa no contexto dos pesquisadores brasileiros na CI</v>
      </c>
      <c r="J797" s="20" t="str">
        <f t="shared" si="2"/>
        <v/>
      </c>
      <c r="K797" s="30" t="s">
        <v>326</v>
      </c>
      <c r="L797" s="20" t="str">
        <f t="shared" si="3"/>
        <v>ciência da informação</v>
      </c>
      <c r="M797" s="18"/>
      <c r="N797" s="21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</row>
    <row r="798">
      <c r="A798" s="22"/>
      <c r="B798" s="23"/>
      <c r="C798" s="24"/>
      <c r="D798" s="24"/>
      <c r="E798" s="18"/>
      <c r="F798" s="18"/>
      <c r="G798" s="25">
        <f t="shared" ref="G798:I798" si="666">G797</f>
        <v>2018</v>
      </c>
      <c r="H798" s="20" t="str">
        <f t="shared" si="666"/>
        <v>agdddp2018</v>
      </c>
      <c r="I798" s="20" t="str">
        <f t="shared" si="666"/>
        <v>A Gestão dos dados de pesquisa no contexto dos pesquisadores brasileiros na CI</v>
      </c>
      <c r="J798" s="20" t="str">
        <f t="shared" si="2"/>
        <v/>
      </c>
      <c r="K798" s="20"/>
      <c r="L798" s="20" t="str">
        <f t="shared" si="3"/>
        <v/>
      </c>
      <c r="M798" s="18"/>
      <c r="N798" s="21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</row>
    <row r="799">
      <c r="A799" s="8"/>
      <c r="B799" s="23"/>
      <c r="C799" s="24"/>
      <c r="D799" s="24"/>
      <c r="E799" s="18"/>
      <c r="F799" s="18"/>
      <c r="G799" s="25">
        <f t="shared" ref="G799:I799" si="667">G798</f>
        <v>2018</v>
      </c>
      <c r="H799" s="20" t="str">
        <f t="shared" si="667"/>
        <v>agdddp2018</v>
      </c>
      <c r="I799" s="20" t="str">
        <f t="shared" si="667"/>
        <v>A Gestão dos dados de pesquisa no contexto dos pesquisadores brasileiros na CI</v>
      </c>
      <c r="J799" s="20" t="str">
        <f t="shared" si="2"/>
        <v/>
      </c>
      <c r="K799" s="20"/>
      <c r="L799" s="20" t="str">
        <f t="shared" si="3"/>
        <v/>
      </c>
      <c r="M799" s="18"/>
      <c r="N799" s="21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</row>
    <row r="800">
      <c r="A800" s="8" t="s">
        <v>54</v>
      </c>
      <c r="B800" s="9">
        <v>2018.0</v>
      </c>
      <c r="C800" s="10" t="s">
        <v>327</v>
      </c>
      <c r="D800" s="24"/>
      <c r="E800" s="18"/>
      <c r="F800" s="18"/>
      <c r="G800" s="12">
        <f>B800</f>
        <v>2018</v>
      </c>
      <c r="H800" s="13" t="str">
        <f>LOWER(left(O800,1)&amp;left(P800,1)&amp;left(Q800,1)&amp;left(R800,1)&amp;left(S800,1)&amp;left(T800,1))&amp;G800</f>
        <v>ddpeop2018</v>
      </c>
      <c r="I800" s="20" t="str">
        <f>trim(C800)</f>
        <v>Dados de pesquisa e o profissional da informação</v>
      </c>
      <c r="J800" s="20" t="str">
        <f t="shared" si="2"/>
        <v/>
      </c>
      <c r="K800" s="30" t="s">
        <v>314</v>
      </c>
      <c r="L800" s="20" t="str">
        <f t="shared" si="3"/>
        <v>dados de pesquisa</v>
      </c>
      <c r="M800" s="18"/>
      <c r="N800" s="21" t="str">
        <f>IFERROR(__xludf.DUMMYFUNCTION("TRANSPOSE(split(D800,"";"",true,true))"),"#VALUE!")</f>
        <v>#VALUE!</v>
      </c>
      <c r="O800" s="6" t="str">
        <f>IFERROR(__xludf.DUMMYFUNCTION("split(C800,"" "")"),"Dados")</f>
        <v>Dados</v>
      </c>
      <c r="P800" s="18" t="str">
        <f>IFERROR(__xludf.DUMMYFUNCTION("""COMPUTED_VALUE"""),"de")</f>
        <v>de</v>
      </c>
      <c r="Q800" s="18" t="str">
        <f>IFERROR(__xludf.DUMMYFUNCTION("""COMPUTED_VALUE"""),"pesquisa")</f>
        <v>pesquisa</v>
      </c>
      <c r="R800" s="18" t="str">
        <f>IFERROR(__xludf.DUMMYFUNCTION("""COMPUTED_VALUE"""),"e")</f>
        <v>e</v>
      </c>
      <c r="S800" s="18" t="str">
        <f>IFERROR(__xludf.DUMMYFUNCTION("""COMPUTED_VALUE"""),"o")</f>
        <v>o</v>
      </c>
      <c r="T800" s="18" t="str">
        <f>IFERROR(__xludf.DUMMYFUNCTION("""COMPUTED_VALUE"""),"profissional")</f>
        <v>profissional</v>
      </c>
      <c r="U800" s="18" t="str">
        <f>IFERROR(__xludf.DUMMYFUNCTION("""COMPUTED_VALUE"""),"da")</f>
        <v>da</v>
      </c>
      <c r="V800" s="18" t="str">
        <f>IFERROR(__xludf.DUMMYFUNCTION("""COMPUTED_VALUE"""),"informação")</f>
        <v>informação</v>
      </c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</row>
    <row r="801">
      <c r="A801" s="22"/>
      <c r="B801" s="23"/>
      <c r="C801" s="24"/>
      <c r="D801" s="24"/>
      <c r="E801" s="18"/>
      <c r="F801" s="18"/>
      <c r="G801" s="25">
        <f t="shared" ref="G801:I801" si="668">G800</f>
        <v>2018</v>
      </c>
      <c r="H801" s="20" t="str">
        <f t="shared" si="668"/>
        <v>ddpeop2018</v>
      </c>
      <c r="I801" s="20" t="str">
        <f t="shared" si="668"/>
        <v>Dados de pesquisa e o profissional da informação</v>
      </c>
      <c r="J801" s="20" t="str">
        <f t="shared" si="2"/>
        <v/>
      </c>
      <c r="K801" s="30" t="s">
        <v>328</v>
      </c>
      <c r="L801" s="20" t="str">
        <f t="shared" si="3"/>
        <v>profissional da informação</v>
      </c>
      <c r="M801" s="18"/>
      <c r="N801" s="21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</row>
    <row r="802">
      <c r="A802" s="22"/>
      <c r="B802" s="23"/>
      <c r="C802" s="24"/>
      <c r="D802" s="24"/>
      <c r="E802" s="18"/>
      <c r="F802" s="18"/>
      <c r="G802" s="25">
        <f t="shared" ref="G802:I802" si="669">G801</f>
        <v>2018</v>
      </c>
      <c r="H802" s="20" t="str">
        <f t="shared" si="669"/>
        <v>ddpeop2018</v>
      </c>
      <c r="I802" s="20" t="str">
        <f t="shared" si="669"/>
        <v>Dados de pesquisa e o profissional da informação</v>
      </c>
      <c r="J802" s="20" t="str">
        <f t="shared" si="2"/>
        <v/>
      </c>
      <c r="K802" s="20"/>
      <c r="L802" s="20" t="str">
        <f t="shared" si="3"/>
        <v/>
      </c>
      <c r="M802" s="18"/>
      <c r="N802" s="21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</row>
    <row r="803">
      <c r="A803" s="22"/>
      <c r="B803" s="23"/>
      <c r="C803" s="24"/>
      <c r="D803" s="24"/>
      <c r="E803" s="18"/>
      <c r="F803" s="18"/>
      <c r="G803" s="25">
        <f t="shared" ref="G803:I803" si="670">G802</f>
        <v>2018</v>
      </c>
      <c r="H803" s="20" t="str">
        <f t="shared" si="670"/>
        <v>ddpeop2018</v>
      </c>
      <c r="I803" s="20" t="str">
        <f t="shared" si="670"/>
        <v>Dados de pesquisa e o profissional da informação</v>
      </c>
      <c r="J803" s="20" t="str">
        <f t="shared" si="2"/>
        <v/>
      </c>
      <c r="K803" s="20"/>
      <c r="L803" s="20" t="str">
        <f t="shared" si="3"/>
        <v/>
      </c>
      <c r="M803" s="18"/>
      <c r="N803" s="21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</row>
    <row r="804">
      <c r="A804" s="22"/>
      <c r="B804" s="23"/>
      <c r="C804" s="24"/>
      <c r="D804" s="24"/>
      <c r="E804" s="18"/>
      <c r="F804" s="18"/>
      <c r="G804" s="25">
        <f t="shared" ref="G804:I804" si="671">G803</f>
        <v>2018</v>
      </c>
      <c r="H804" s="20" t="str">
        <f t="shared" si="671"/>
        <v>ddpeop2018</v>
      </c>
      <c r="I804" s="20" t="str">
        <f t="shared" si="671"/>
        <v>Dados de pesquisa e o profissional da informação</v>
      </c>
      <c r="J804" s="20" t="str">
        <f t="shared" si="2"/>
        <v/>
      </c>
      <c r="K804" s="20"/>
      <c r="L804" s="20" t="str">
        <f t="shared" si="3"/>
        <v/>
      </c>
      <c r="M804" s="18"/>
      <c r="N804" s="21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</row>
    <row r="805">
      <c r="A805" s="8"/>
      <c r="B805" s="23"/>
      <c r="C805" s="24"/>
      <c r="D805" s="24"/>
      <c r="E805" s="18"/>
      <c r="F805" s="18"/>
      <c r="G805" s="25">
        <f t="shared" ref="G805:I805" si="672">G804</f>
        <v>2018</v>
      </c>
      <c r="H805" s="20" t="str">
        <f t="shared" si="672"/>
        <v>ddpeop2018</v>
      </c>
      <c r="I805" s="20" t="str">
        <f t="shared" si="672"/>
        <v>Dados de pesquisa e o profissional da informação</v>
      </c>
      <c r="J805" s="20" t="str">
        <f t="shared" si="2"/>
        <v/>
      </c>
      <c r="K805" s="20"/>
      <c r="L805" s="20" t="str">
        <f t="shared" si="3"/>
        <v/>
      </c>
      <c r="M805" s="18"/>
      <c r="N805" s="21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</row>
    <row r="806">
      <c r="A806" s="8" t="s">
        <v>54</v>
      </c>
      <c r="B806" s="9">
        <v>2018.0</v>
      </c>
      <c r="C806" s="10" t="s">
        <v>329</v>
      </c>
      <c r="D806" s="24"/>
      <c r="E806" s="18"/>
      <c r="F806" s="18"/>
      <c r="G806" s="12">
        <f>B806</f>
        <v>2018</v>
      </c>
      <c r="H806" s="13" t="str">
        <f>LOWER(left(O806,1)&amp;left(P806,1)&amp;left(Q806,1)&amp;left(R806,1)&amp;left(S806,1)&amp;left(T806,1))&amp;G806</f>
        <v>acdieo2018</v>
      </c>
      <c r="I806" s="20" t="str">
        <f>trim(C806)</f>
        <v>A Ciência da Informação e os dados de pesquisa</v>
      </c>
      <c r="J806" s="20" t="str">
        <f t="shared" si="2"/>
        <v/>
      </c>
      <c r="K806" s="30" t="s">
        <v>326</v>
      </c>
      <c r="L806" s="20" t="str">
        <f t="shared" si="3"/>
        <v>ciência da informação</v>
      </c>
      <c r="M806" s="18"/>
      <c r="N806" s="21" t="str">
        <f>IFERROR(__xludf.DUMMYFUNCTION("TRANSPOSE(split(D806,"";"",true,true))"),"#VALUE!")</f>
        <v>#VALUE!</v>
      </c>
      <c r="O806" s="6" t="str">
        <f>IFERROR(__xludf.DUMMYFUNCTION("split(C806,"" "")"),"A")</f>
        <v>A</v>
      </c>
      <c r="P806" s="18" t="str">
        <f>IFERROR(__xludf.DUMMYFUNCTION("""COMPUTED_VALUE"""),"Ciência")</f>
        <v>Ciência</v>
      </c>
      <c r="Q806" s="18" t="str">
        <f>IFERROR(__xludf.DUMMYFUNCTION("""COMPUTED_VALUE"""),"da")</f>
        <v>da</v>
      </c>
      <c r="R806" s="18" t="str">
        <f>IFERROR(__xludf.DUMMYFUNCTION("""COMPUTED_VALUE"""),"Informação")</f>
        <v>Informação</v>
      </c>
      <c r="S806" s="18" t="str">
        <f>IFERROR(__xludf.DUMMYFUNCTION("""COMPUTED_VALUE"""),"e")</f>
        <v>e</v>
      </c>
      <c r="T806" s="18" t="str">
        <f>IFERROR(__xludf.DUMMYFUNCTION("""COMPUTED_VALUE"""),"os")</f>
        <v>os</v>
      </c>
      <c r="U806" s="18" t="str">
        <f>IFERROR(__xludf.DUMMYFUNCTION("""COMPUTED_VALUE"""),"dados")</f>
        <v>dados</v>
      </c>
      <c r="V806" s="18" t="str">
        <f>IFERROR(__xludf.DUMMYFUNCTION("""COMPUTED_VALUE"""),"de")</f>
        <v>de</v>
      </c>
      <c r="W806" s="18" t="str">
        <f>IFERROR(__xludf.DUMMYFUNCTION("""COMPUTED_VALUE"""),"pesquisa")</f>
        <v>pesquisa</v>
      </c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</row>
    <row r="807">
      <c r="A807" s="22"/>
      <c r="B807" s="23"/>
      <c r="C807" s="24"/>
      <c r="D807" s="24"/>
      <c r="E807" s="18"/>
      <c r="F807" s="18"/>
      <c r="G807" s="25">
        <f t="shared" ref="G807:I807" si="673">G806</f>
        <v>2018</v>
      </c>
      <c r="H807" s="20" t="str">
        <f t="shared" si="673"/>
        <v>acdieo2018</v>
      </c>
      <c r="I807" s="20" t="str">
        <f t="shared" si="673"/>
        <v>A Ciência da Informação e os dados de pesquisa</v>
      </c>
      <c r="J807" s="20" t="str">
        <f t="shared" si="2"/>
        <v/>
      </c>
      <c r="K807" s="30" t="s">
        <v>314</v>
      </c>
      <c r="L807" s="20" t="str">
        <f t="shared" si="3"/>
        <v>dados de pesquisa</v>
      </c>
      <c r="M807" s="18"/>
      <c r="N807" s="21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</row>
    <row r="808">
      <c r="A808" s="22"/>
      <c r="B808" s="23"/>
      <c r="C808" s="24"/>
      <c r="D808" s="24"/>
      <c r="E808" s="18"/>
      <c r="F808" s="18"/>
      <c r="G808" s="25">
        <f t="shared" ref="G808:I808" si="674">G807</f>
        <v>2018</v>
      </c>
      <c r="H808" s="20" t="str">
        <f t="shared" si="674"/>
        <v>acdieo2018</v>
      </c>
      <c r="I808" s="20" t="str">
        <f t="shared" si="674"/>
        <v>A Ciência da Informação e os dados de pesquisa</v>
      </c>
      <c r="J808" s="20" t="str">
        <f t="shared" si="2"/>
        <v/>
      </c>
      <c r="K808" s="20"/>
      <c r="L808" s="20" t="str">
        <f t="shared" si="3"/>
        <v/>
      </c>
      <c r="M808" s="18"/>
      <c r="N808" s="21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</row>
    <row r="809">
      <c r="A809" s="22"/>
      <c r="B809" s="23"/>
      <c r="C809" s="24"/>
      <c r="D809" s="24"/>
      <c r="E809" s="18"/>
      <c r="F809" s="18"/>
      <c r="G809" s="25">
        <f t="shared" ref="G809:I809" si="675">G808</f>
        <v>2018</v>
      </c>
      <c r="H809" s="20" t="str">
        <f t="shared" si="675"/>
        <v>acdieo2018</v>
      </c>
      <c r="I809" s="20" t="str">
        <f t="shared" si="675"/>
        <v>A Ciência da Informação e os dados de pesquisa</v>
      </c>
      <c r="J809" s="20" t="str">
        <f t="shared" si="2"/>
        <v/>
      </c>
      <c r="K809" s="20"/>
      <c r="L809" s="20" t="str">
        <f t="shared" si="3"/>
        <v/>
      </c>
      <c r="M809" s="18"/>
      <c r="N809" s="21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</row>
    <row r="810">
      <c r="A810" s="22"/>
      <c r="B810" s="23"/>
      <c r="C810" s="24"/>
      <c r="D810" s="24"/>
      <c r="E810" s="18"/>
      <c r="F810" s="18"/>
      <c r="G810" s="25">
        <f t="shared" ref="G810:I810" si="676">G809</f>
        <v>2018</v>
      </c>
      <c r="H810" s="20" t="str">
        <f t="shared" si="676"/>
        <v>acdieo2018</v>
      </c>
      <c r="I810" s="20" t="str">
        <f t="shared" si="676"/>
        <v>A Ciência da Informação e os dados de pesquisa</v>
      </c>
      <c r="J810" s="20" t="str">
        <f t="shared" si="2"/>
        <v/>
      </c>
      <c r="K810" s="20"/>
      <c r="L810" s="20" t="str">
        <f t="shared" si="3"/>
        <v/>
      </c>
      <c r="M810" s="18"/>
      <c r="N810" s="21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</row>
    <row r="811">
      <c r="A811" s="8"/>
      <c r="B811" s="23"/>
      <c r="C811" s="24"/>
      <c r="D811" s="24"/>
      <c r="E811" s="18"/>
      <c r="F811" s="18"/>
      <c r="G811" s="25">
        <f t="shared" ref="G811:I811" si="677">G810</f>
        <v>2018</v>
      </c>
      <c r="H811" s="20" t="str">
        <f t="shared" si="677"/>
        <v>acdieo2018</v>
      </c>
      <c r="I811" s="20" t="str">
        <f t="shared" si="677"/>
        <v>A Ciência da Informação e os dados de pesquisa</v>
      </c>
      <c r="J811" s="20" t="str">
        <f t="shared" si="2"/>
        <v/>
      </c>
      <c r="K811" s="20"/>
      <c r="L811" s="20" t="str">
        <f t="shared" si="3"/>
        <v/>
      </c>
      <c r="M811" s="18"/>
      <c r="N811" s="21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</row>
    <row r="812">
      <c r="A812" s="8" t="s">
        <v>54</v>
      </c>
      <c r="B812" s="9">
        <v>2018.0</v>
      </c>
      <c r="C812" s="10" t="s">
        <v>330</v>
      </c>
      <c r="D812" s="24"/>
      <c r="E812" s="18"/>
      <c r="F812" s="18"/>
      <c r="G812" s="12">
        <f>B812</f>
        <v>2018</v>
      </c>
      <c r="H812" s="13" t="str">
        <f>LOWER(left(O812,1)&amp;left(P812,1)&amp;left(Q812,1)&amp;left(R812,1)&amp;left(S812,1)&amp;left(T812,1))&amp;G812</f>
        <v>aqdidc2018</v>
      </c>
      <c r="I812" s="20" t="str">
        <f>trim(C812)</f>
        <v>A questão da identidade da CI frente aos cenários apresentados do paradigma dos dados</v>
      </c>
      <c r="J812" s="20" t="str">
        <f t="shared" si="2"/>
        <v/>
      </c>
      <c r="K812" s="30" t="s">
        <v>326</v>
      </c>
      <c r="L812" s="20" t="str">
        <f t="shared" si="3"/>
        <v>ciência da informação</v>
      </c>
      <c r="M812" s="18"/>
      <c r="N812" s="21" t="str">
        <f>IFERROR(__xludf.DUMMYFUNCTION("TRANSPOSE(split(D812,"";"",true,true))"),"#VALUE!")</f>
        <v>#VALUE!</v>
      </c>
      <c r="O812" s="6" t="str">
        <f>IFERROR(__xludf.DUMMYFUNCTION("split(C812,"" "")"),"A")</f>
        <v>A</v>
      </c>
      <c r="P812" s="18" t="str">
        <f>IFERROR(__xludf.DUMMYFUNCTION("""COMPUTED_VALUE"""),"questão")</f>
        <v>questão</v>
      </c>
      <c r="Q812" s="18" t="str">
        <f>IFERROR(__xludf.DUMMYFUNCTION("""COMPUTED_VALUE"""),"da")</f>
        <v>da</v>
      </c>
      <c r="R812" s="18" t="str">
        <f>IFERROR(__xludf.DUMMYFUNCTION("""COMPUTED_VALUE"""),"identidade")</f>
        <v>identidade</v>
      </c>
      <c r="S812" s="18" t="str">
        <f>IFERROR(__xludf.DUMMYFUNCTION("""COMPUTED_VALUE"""),"da")</f>
        <v>da</v>
      </c>
      <c r="T812" s="18" t="str">
        <f>IFERROR(__xludf.DUMMYFUNCTION("""COMPUTED_VALUE"""),"CI")</f>
        <v>CI</v>
      </c>
      <c r="U812" s="18" t="str">
        <f>IFERROR(__xludf.DUMMYFUNCTION("""COMPUTED_VALUE"""),"frente")</f>
        <v>frente</v>
      </c>
      <c r="V812" s="18" t="str">
        <f>IFERROR(__xludf.DUMMYFUNCTION("""COMPUTED_VALUE"""),"aos")</f>
        <v>aos</v>
      </c>
      <c r="W812" s="18" t="str">
        <f>IFERROR(__xludf.DUMMYFUNCTION("""COMPUTED_VALUE"""),"cenários")</f>
        <v>cenários</v>
      </c>
      <c r="X812" s="18" t="str">
        <f>IFERROR(__xludf.DUMMYFUNCTION("""COMPUTED_VALUE"""),"apresentados")</f>
        <v>apresentados</v>
      </c>
      <c r="Y812" s="18" t="str">
        <f>IFERROR(__xludf.DUMMYFUNCTION("""COMPUTED_VALUE"""),"do")</f>
        <v>do</v>
      </c>
      <c r="Z812" s="18" t="str">
        <f>IFERROR(__xludf.DUMMYFUNCTION("""COMPUTED_VALUE"""),"paradigma")</f>
        <v>paradigma</v>
      </c>
      <c r="AA812" s="18" t="str">
        <f>IFERROR(__xludf.DUMMYFUNCTION("""COMPUTED_VALUE"""),"dos")</f>
        <v>dos</v>
      </c>
      <c r="AB812" s="18" t="str">
        <f>IFERROR(__xludf.DUMMYFUNCTION("""COMPUTED_VALUE"""),"dados")</f>
        <v>dados</v>
      </c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</row>
    <row r="813">
      <c r="A813" s="22"/>
      <c r="B813" s="23"/>
      <c r="C813" s="24"/>
      <c r="D813" s="24"/>
      <c r="E813" s="18"/>
      <c r="F813" s="18"/>
      <c r="G813" s="25">
        <f t="shared" ref="G813:I813" si="678">G812</f>
        <v>2018</v>
      </c>
      <c r="H813" s="20" t="str">
        <f t="shared" si="678"/>
        <v>aqdidc2018</v>
      </c>
      <c r="I813" s="20" t="str">
        <f t="shared" si="678"/>
        <v>A questão da identidade da CI frente aos cenários apresentados do paradigma dos dados</v>
      </c>
      <c r="J813" s="20" t="str">
        <f t="shared" si="2"/>
        <v/>
      </c>
      <c r="K813" s="30" t="s">
        <v>331</v>
      </c>
      <c r="L813" s="20" t="str">
        <f t="shared" si="3"/>
        <v>identidade da ci</v>
      </c>
      <c r="M813" s="18"/>
      <c r="N813" s="21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</row>
    <row r="814">
      <c r="A814" s="22"/>
      <c r="B814" s="23"/>
      <c r="C814" s="24"/>
      <c r="D814" s="24"/>
      <c r="E814" s="18"/>
      <c r="F814" s="18"/>
      <c r="G814" s="25">
        <f t="shared" ref="G814:I814" si="679">G813</f>
        <v>2018</v>
      </c>
      <c r="H814" s="20" t="str">
        <f t="shared" si="679"/>
        <v>aqdidc2018</v>
      </c>
      <c r="I814" s="20" t="str">
        <f t="shared" si="679"/>
        <v>A questão da identidade da CI frente aos cenários apresentados do paradigma dos dados</v>
      </c>
      <c r="J814" s="20" t="str">
        <f t="shared" si="2"/>
        <v/>
      </c>
      <c r="K814" s="30" t="s">
        <v>332</v>
      </c>
      <c r="L814" s="20" t="str">
        <f t="shared" si="3"/>
        <v>paradigma de dados</v>
      </c>
      <c r="M814" s="18"/>
      <c r="N814" s="21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</row>
    <row r="815">
      <c r="A815" s="22"/>
      <c r="B815" s="23"/>
      <c r="C815" s="24"/>
      <c r="D815" s="24"/>
      <c r="E815" s="18"/>
      <c r="F815" s="18"/>
      <c r="G815" s="25">
        <f t="shared" ref="G815:I815" si="680">G814</f>
        <v>2018</v>
      </c>
      <c r="H815" s="20" t="str">
        <f t="shared" si="680"/>
        <v>aqdidc2018</v>
      </c>
      <c r="I815" s="20" t="str">
        <f t="shared" si="680"/>
        <v>A questão da identidade da CI frente aos cenários apresentados do paradigma dos dados</v>
      </c>
      <c r="J815" s="20" t="str">
        <f t="shared" si="2"/>
        <v/>
      </c>
      <c r="K815" s="20"/>
      <c r="L815" s="20" t="str">
        <f t="shared" si="3"/>
        <v/>
      </c>
      <c r="M815" s="18"/>
      <c r="N815" s="21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</row>
    <row r="816">
      <c r="A816" s="22"/>
      <c r="B816" s="23"/>
      <c r="C816" s="24"/>
      <c r="D816" s="24"/>
      <c r="E816" s="18"/>
      <c r="F816" s="18"/>
      <c r="G816" s="25">
        <f t="shared" ref="G816:I816" si="681">G815</f>
        <v>2018</v>
      </c>
      <c r="H816" s="20" t="str">
        <f t="shared" si="681"/>
        <v>aqdidc2018</v>
      </c>
      <c r="I816" s="20" t="str">
        <f t="shared" si="681"/>
        <v>A questão da identidade da CI frente aos cenários apresentados do paradigma dos dados</v>
      </c>
      <c r="J816" s="20" t="str">
        <f t="shared" si="2"/>
        <v/>
      </c>
      <c r="K816" s="20"/>
      <c r="L816" s="20" t="str">
        <f t="shared" si="3"/>
        <v/>
      </c>
      <c r="M816" s="18"/>
      <c r="N816" s="21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</row>
    <row r="817">
      <c r="A817" s="8"/>
      <c r="B817" s="23"/>
      <c r="C817" s="24"/>
      <c r="D817" s="24"/>
      <c r="E817" s="18"/>
      <c r="F817" s="18"/>
      <c r="G817" s="25">
        <f t="shared" ref="G817:I817" si="682">G816</f>
        <v>2018</v>
      </c>
      <c r="H817" s="20" t="str">
        <f t="shared" si="682"/>
        <v>aqdidc2018</v>
      </c>
      <c r="I817" s="20" t="str">
        <f t="shared" si="682"/>
        <v>A questão da identidade da CI frente aos cenários apresentados do paradigma dos dados</v>
      </c>
      <c r="J817" s="20" t="str">
        <f t="shared" si="2"/>
        <v/>
      </c>
      <c r="K817" s="20"/>
      <c r="L817" s="20" t="str">
        <f t="shared" si="3"/>
        <v/>
      </c>
      <c r="M817" s="18"/>
      <c r="N817" s="21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</row>
    <row r="818">
      <c r="A818" s="8" t="s">
        <v>54</v>
      </c>
      <c r="B818" s="9">
        <v>2018.0</v>
      </c>
      <c r="C818" s="10" t="s">
        <v>333</v>
      </c>
      <c r="D818" s="24"/>
      <c r="E818" s="18"/>
      <c r="F818" s="18"/>
      <c r="G818" s="12">
        <f>B818</f>
        <v>2018</v>
      </c>
      <c r="H818" s="13" t="str">
        <f>LOWER(left(O818,1)&amp;left(P818,1)&amp;left(Q818,1)&amp;left(R818,1)&amp;left(S818,1)&amp;left(T818,1))&amp;G818</f>
        <v>aedddp2018</v>
      </c>
      <c r="I818" s="20" t="str">
        <f>trim(C818)</f>
        <v>A emergência dos dados de pesquisa na ciência contemporânea</v>
      </c>
      <c r="J818" s="20" t="str">
        <f t="shared" si="2"/>
        <v/>
      </c>
      <c r="K818" s="30" t="s">
        <v>314</v>
      </c>
      <c r="L818" s="20" t="str">
        <f t="shared" si="3"/>
        <v>dados de pesquisa</v>
      </c>
      <c r="M818" s="18"/>
      <c r="N818" s="21" t="str">
        <f>IFERROR(__xludf.DUMMYFUNCTION("TRANSPOSE(split(D818,"";"",true,true))"),"#VALUE!")</f>
        <v>#VALUE!</v>
      </c>
      <c r="O818" s="6" t="str">
        <f>IFERROR(__xludf.DUMMYFUNCTION("split(C818,"" "")"),"A")</f>
        <v>A</v>
      </c>
      <c r="P818" s="18" t="str">
        <f>IFERROR(__xludf.DUMMYFUNCTION("""COMPUTED_VALUE"""),"emergência")</f>
        <v>emergência</v>
      </c>
      <c r="Q818" s="18" t="str">
        <f>IFERROR(__xludf.DUMMYFUNCTION("""COMPUTED_VALUE"""),"dos")</f>
        <v>dos</v>
      </c>
      <c r="R818" s="18" t="str">
        <f>IFERROR(__xludf.DUMMYFUNCTION("""COMPUTED_VALUE"""),"dados")</f>
        <v>dados</v>
      </c>
      <c r="S818" s="18" t="str">
        <f>IFERROR(__xludf.DUMMYFUNCTION("""COMPUTED_VALUE"""),"de")</f>
        <v>de</v>
      </c>
      <c r="T818" s="18" t="str">
        <f>IFERROR(__xludf.DUMMYFUNCTION("""COMPUTED_VALUE"""),"pesquisa")</f>
        <v>pesquisa</v>
      </c>
      <c r="U818" s="18" t="str">
        <f>IFERROR(__xludf.DUMMYFUNCTION("""COMPUTED_VALUE"""),"na")</f>
        <v>na</v>
      </c>
      <c r="V818" s="18" t="str">
        <f>IFERROR(__xludf.DUMMYFUNCTION("""COMPUTED_VALUE"""),"ciência")</f>
        <v>ciência</v>
      </c>
      <c r="W818" s="18" t="str">
        <f>IFERROR(__xludf.DUMMYFUNCTION("""COMPUTED_VALUE"""),"contemporânea")</f>
        <v>contemporânea</v>
      </c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</row>
    <row r="819">
      <c r="A819" s="22"/>
      <c r="B819" s="23"/>
      <c r="C819" s="24"/>
      <c r="D819" s="24"/>
      <c r="E819" s="18"/>
      <c r="F819" s="18"/>
      <c r="G819" s="25">
        <f t="shared" ref="G819:I819" si="683">G818</f>
        <v>2018</v>
      </c>
      <c r="H819" s="20" t="str">
        <f t="shared" si="683"/>
        <v>aedddp2018</v>
      </c>
      <c r="I819" s="20" t="str">
        <f t="shared" si="683"/>
        <v>A emergência dos dados de pesquisa na ciência contemporânea</v>
      </c>
      <c r="J819" s="20" t="str">
        <f t="shared" si="2"/>
        <v/>
      </c>
      <c r="K819" s="30" t="s">
        <v>334</v>
      </c>
      <c r="L819" s="20" t="str">
        <f t="shared" si="3"/>
        <v>ciência contemporêanea</v>
      </c>
      <c r="M819" s="18"/>
      <c r="N819" s="21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</row>
    <row r="820">
      <c r="A820" s="22"/>
      <c r="B820" s="23"/>
      <c r="C820" s="24"/>
      <c r="D820" s="24"/>
      <c r="E820" s="18"/>
      <c r="F820" s="18"/>
      <c r="G820" s="25">
        <f t="shared" ref="G820:I820" si="684">G819</f>
        <v>2018</v>
      </c>
      <c r="H820" s="20" t="str">
        <f t="shared" si="684"/>
        <v>aedddp2018</v>
      </c>
      <c r="I820" s="20" t="str">
        <f t="shared" si="684"/>
        <v>A emergência dos dados de pesquisa na ciência contemporânea</v>
      </c>
      <c r="J820" s="20" t="str">
        <f t="shared" si="2"/>
        <v/>
      </c>
      <c r="K820" s="20"/>
      <c r="L820" s="20" t="str">
        <f t="shared" si="3"/>
        <v/>
      </c>
      <c r="M820" s="18"/>
      <c r="N820" s="21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</row>
    <row r="821">
      <c r="A821" s="22"/>
      <c r="B821" s="23"/>
      <c r="C821" s="24"/>
      <c r="D821" s="24"/>
      <c r="E821" s="18"/>
      <c r="F821" s="18"/>
      <c r="G821" s="25">
        <f t="shared" ref="G821:I821" si="685">G820</f>
        <v>2018</v>
      </c>
      <c r="H821" s="20" t="str">
        <f t="shared" si="685"/>
        <v>aedddp2018</v>
      </c>
      <c r="I821" s="20" t="str">
        <f t="shared" si="685"/>
        <v>A emergência dos dados de pesquisa na ciência contemporânea</v>
      </c>
      <c r="J821" s="20" t="str">
        <f t="shared" si="2"/>
        <v/>
      </c>
      <c r="K821" s="20"/>
      <c r="L821" s="20" t="str">
        <f t="shared" si="3"/>
        <v/>
      </c>
      <c r="M821" s="18"/>
      <c r="N821" s="21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</row>
    <row r="822">
      <c r="A822" s="22"/>
      <c r="B822" s="23"/>
      <c r="C822" s="24"/>
      <c r="D822" s="24"/>
      <c r="E822" s="18"/>
      <c r="F822" s="18"/>
      <c r="G822" s="25">
        <f t="shared" ref="G822:I822" si="686">G821</f>
        <v>2018</v>
      </c>
      <c r="H822" s="20" t="str">
        <f t="shared" si="686"/>
        <v>aedddp2018</v>
      </c>
      <c r="I822" s="20" t="str">
        <f t="shared" si="686"/>
        <v>A emergência dos dados de pesquisa na ciência contemporânea</v>
      </c>
      <c r="J822" s="20" t="str">
        <f t="shared" si="2"/>
        <v/>
      </c>
      <c r="K822" s="20"/>
      <c r="L822" s="20" t="str">
        <f t="shared" si="3"/>
        <v/>
      </c>
      <c r="M822" s="18"/>
      <c r="N822" s="21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</row>
    <row r="823">
      <c r="A823" s="8"/>
      <c r="B823" s="23"/>
      <c r="C823" s="24"/>
      <c r="D823" s="24"/>
      <c r="E823" s="18"/>
      <c r="F823" s="18"/>
      <c r="G823" s="25">
        <f t="shared" ref="G823:I823" si="687">G822</f>
        <v>2018</v>
      </c>
      <c r="H823" s="20" t="str">
        <f t="shared" si="687"/>
        <v>aedddp2018</v>
      </c>
      <c r="I823" s="20" t="str">
        <f t="shared" si="687"/>
        <v>A emergência dos dados de pesquisa na ciência contemporânea</v>
      </c>
      <c r="J823" s="20" t="str">
        <f t="shared" si="2"/>
        <v/>
      </c>
      <c r="K823" s="20"/>
      <c r="L823" s="20" t="str">
        <f t="shared" si="3"/>
        <v/>
      </c>
      <c r="M823" s="18"/>
      <c r="N823" s="21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</row>
    <row r="824">
      <c r="A824" s="8" t="s">
        <v>54</v>
      </c>
      <c r="B824" s="9">
        <v>2018.0</v>
      </c>
      <c r="C824" s="10" t="s">
        <v>335</v>
      </c>
      <c r="D824" s="10" t="s">
        <v>336</v>
      </c>
      <c r="E824" s="18"/>
      <c r="F824" s="18"/>
      <c r="G824" s="12">
        <f>B824</f>
        <v>2018</v>
      </c>
      <c r="H824" s="13" t="str">
        <f>LOWER(left(O824,1)&amp;left(P824,1)&amp;left(Q824,1)&amp;left(R824,1)&amp;left(S824,1)&amp;left(T824,1))&amp;G824</f>
        <v>opfcdp2018</v>
      </c>
      <c r="I824" s="20" t="str">
        <f>trim(C824)</f>
        <v>Os princípios FAIR como diretrizes para maximizar o uso e (re)uso dos dados de pesquisa: Traçando um paralelo com a gestão de documentos arquivísticos digitais</v>
      </c>
      <c r="J824" s="20" t="str">
        <f t="shared" si="2"/>
        <v>Princípios FAIR</v>
      </c>
      <c r="K824" s="20"/>
      <c r="L824" s="20" t="str">
        <f t="shared" si="3"/>
        <v>princípios fair</v>
      </c>
      <c r="M824" s="18"/>
      <c r="N824" s="21" t="str">
        <f>IFERROR(__xludf.DUMMYFUNCTION("TRANSPOSE(split(D824,"";"",true,true))"),"Princípios FAIR")</f>
        <v>Princípios FAIR</v>
      </c>
      <c r="O824" s="6" t="str">
        <f>IFERROR(__xludf.DUMMYFUNCTION("split(C824,"" "")"),"Os")</f>
        <v>Os</v>
      </c>
      <c r="P824" s="18" t="str">
        <f>IFERROR(__xludf.DUMMYFUNCTION("""COMPUTED_VALUE"""),"princípios")</f>
        <v>princípios</v>
      </c>
      <c r="Q824" s="18" t="str">
        <f>IFERROR(__xludf.DUMMYFUNCTION("""COMPUTED_VALUE"""),"FAIR")</f>
        <v>FAIR</v>
      </c>
      <c r="R824" s="18" t="str">
        <f>IFERROR(__xludf.DUMMYFUNCTION("""COMPUTED_VALUE"""),"como")</f>
        <v>como</v>
      </c>
      <c r="S824" s="18" t="str">
        <f>IFERROR(__xludf.DUMMYFUNCTION("""COMPUTED_VALUE"""),"diretrizes")</f>
        <v>diretrizes</v>
      </c>
      <c r="T824" s="18" t="str">
        <f>IFERROR(__xludf.DUMMYFUNCTION("""COMPUTED_VALUE"""),"para")</f>
        <v>para</v>
      </c>
      <c r="U824" s="18" t="str">
        <f>IFERROR(__xludf.DUMMYFUNCTION("""COMPUTED_VALUE"""),"maximizar")</f>
        <v>maximizar</v>
      </c>
      <c r="V824" s="18" t="str">
        <f>IFERROR(__xludf.DUMMYFUNCTION("""COMPUTED_VALUE"""),"o")</f>
        <v>o</v>
      </c>
      <c r="W824" s="18" t="str">
        <f>IFERROR(__xludf.DUMMYFUNCTION("""COMPUTED_VALUE"""),"uso")</f>
        <v>uso</v>
      </c>
      <c r="X824" s="18" t="str">
        <f>IFERROR(__xludf.DUMMYFUNCTION("""COMPUTED_VALUE"""),"e")</f>
        <v>e</v>
      </c>
      <c r="Y824" s="18" t="str">
        <f>IFERROR(__xludf.DUMMYFUNCTION("""COMPUTED_VALUE"""),"(re)uso")</f>
        <v>(re)uso</v>
      </c>
      <c r="Z824" s="18" t="str">
        <f>IFERROR(__xludf.DUMMYFUNCTION("""COMPUTED_VALUE"""),"dos")</f>
        <v>dos</v>
      </c>
      <c r="AA824" s="18" t="str">
        <f>IFERROR(__xludf.DUMMYFUNCTION("""COMPUTED_VALUE"""),"dados")</f>
        <v>dados</v>
      </c>
      <c r="AB824" s="18" t="str">
        <f>IFERROR(__xludf.DUMMYFUNCTION("""COMPUTED_VALUE"""),"de")</f>
        <v>de</v>
      </c>
      <c r="AC824" s="18" t="str">
        <f>IFERROR(__xludf.DUMMYFUNCTION("""COMPUTED_VALUE"""),"pesquisa:")</f>
        <v>pesquisa:</v>
      </c>
      <c r="AD824" s="18" t="str">
        <f>IFERROR(__xludf.DUMMYFUNCTION("""COMPUTED_VALUE"""),"Traçando")</f>
        <v>Traçando</v>
      </c>
      <c r="AE824" s="18" t="str">
        <f>IFERROR(__xludf.DUMMYFUNCTION("""COMPUTED_VALUE"""),"um")</f>
        <v>um</v>
      </c>
      <c r="AF824" s="18" t="str">
        <f>IFERROR(__xludf.DUMMYFUNCTION("""COMPUTED_VALUE"""),"paralelo")</f>
        <v>paralelo</v>
      </c>
      <c r="AG824" s="18" t="str">
        <f>IFERROR(__xludf.DUMMYFUNCTION("""COMPUTED_VALUE"""),"com")</f>
        <v>com</v>
      </c>
      <c r="AH824" s="18" t="str">
        <f>IFERROR(__xludf.DUMMYFUNCTION("""COMPUTED_VALUE"""),"a")</f>
        <v>a</v>
      </c>
      <c r="AI824" s="18" t="str">
        <f>IFERROR(__xludf.DUMMYFUNCTION("""COMPUTED_VALUE"""),"gestão")</f>
        <v>gestão</v>
      </c>
      <c r="AJ824" s="18" t="str">
        <f>IFERROR(__xludf.DUMMYFUNCTION("""COMPUTED_VALUE"""),"de")</f>
        <v>de</v>
      </c>
      <c r="AK824" s="18" t="str">
        <f>IFERROR(__xludf.DUMMYFUNCTION("""COMPUTED_VALUE"""),"documentos")</f>
        <v>documentos</v>
      </c>
      <c r="AL824" s="18" t="str">
        <f>IFERROR(__xludf.DUMMYFUNCTION("""COMPUTED_VALUE"""),"arquivísticos")</f>
        <v>arquivísticos</v>
      </c>
      <c r="AM824" s="18" t="str">
        <f>IFERROR(__xludf.DUMMYFUNCTION("""COMPUTED_VALUE"""),"digitais")</f>
        <v>digitais</v>
      </c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</row>
    <row r="825">
      <c r="A825" s="22"/>
      <c r="B825" s="23"/>
      <c r="C825" s="24"/>
      <c r="D825" s="24"/>
      <c r="E825" s="18"/>
      <c r="F825" s="18"/>
      <c r="G825" s="25">
        <f t="shared" ref="G825:I825" si="688">G824</f>
        <v>2018</v>
      </c>
      <c r="H825" s="20" t="str">
        <f t="shared" si="688"/>
        <v>opfcdp2018</v>
      </c>
      <c r="I825" s="20" t="str">
        <f t="shared" si="688"/>
        <v>Os princípios FAIR como diretrizes para maximizar o uso e (re)uso dos dados de pesquisa: Traçando um paralelo com a gestão de documentos arquivísticos digitais</v>
      </c>
      <c r="J825" s="20" t="str">
        <f t="shared" si="2"/>
        <v>Gestão de dados de pesquisa</v>
      </c>
      <c r="K825" s="20"/>
      <c r="L825" s="20" t="str">
        <f t="shared" si="3"/>
        <v>gestão de dados de pesquisa</v>
      </c>
      <c r="M825" s="18"/>
      <c r="N825" s="21" t="str">
        <f>IFERROR(__xludf.DUMMYFUNCTION("""COMPUTED_VALUE""")," Gestão de dados de pesquisa")</f>
        <v> Gestão de dados de pesquisa</v>
      </c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</row>
    <row r="826">
      <c r="A826" s="22"/>
      <c r="B826" s="23"/>
      <c r="C826" s="24"/>
      <c r="D826" s="24"/>
      <c r="E826" s="18"/>
      <c r="F826" s="18"/>
      <c r="G826" s="25">
        <f t="shared" ref="G826:I826" si="689">G825</f>
        <v>2018</v>
      </c>
      <c r="H826" s="20" t="str">
        <f t="shared" si="689"/>
        <v>opfcdp2018</v>
      </c>
      <c r="I826" s="20" t="str">
        <f t="shared" si="689"/>
        <v>Os princípios FAIR como diretrizes para maximizar o uso e (re)uso dos dados de pesquisa: Traçando um paralelo com a gestão de documentos arquivísticos digitais</v>
      </c>
      <c r="J826" s="20" t="str">
        <f t="shared" si="2"/>
        <v>Gestão de Documentos Arquivísticos Digitas</v>
      </c>
      <c r="K826" s="20"/>
      <c r="L826" s="20" t="str">
        <f t="shared" si="3"/>
        <v>gestão de documentos arquivísticos digitas</v>
      </c>
      <c r="M826" s="18"/>
      <c r="N826" s="21" t="str">
        <f>IFERROR(__xludf.DUMMYFUNCTION("""COMPUTED_VALUE""")," Gestão de Documentos Arquivísticos Digitas")</f>
        <v> Gestão de Documentos Arquivísticos Digitas</v>
      </c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</row>
    <row r="827">
      <c r="A827" s="22"/>
      <c r="B827" s="23"/>
      <c r="C827" s="24"/>
      <c r="D827" s="24"/>
      <c r="E827" s="18"/>
      <c r="F827" s="18"/>
      <c r="G827" s="25">
        <f t="shared" ref="G827:I827" si="690">G826</f>
        <v>2018</v>
      </c>
      <c r="H827" s="20" t="str">
        <f t="shared" si="690"/>
        <v>opfcdp2018</v>
      </c>
      <c r="I827" s="20" t="str">
        <f t="shared" si="690"/>
        <v>Os princípios FAIR como diretrizes para maximizar o uso e (re)uso dos dados de pesquisa: Traçando um paralelo com a gestão de documentos arquivísticos digitais</v>
      </c>
      <c r="J827" s="20" t="str">
        <f t="shared" si="2"/>
        <v/>
      </c>
      <c r="K827" s="20"/>
      <c r="L827" s="20" t="str">
        <f t="shared" si="3"/>
        <v/>
      </c>
      <c r="M827" s="18"/>
      <c r="N827" s="21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</row>
    <row r="828">
      <c r="A828" s="22"/>
      <c r="B828" s="23"/>
      <c r="C828" s="24"/>
      <c r="D828" s="24"/>
      <c r="E828" s="18"/>
      <c r="F828" s="18"/>
      <c r="G828" s="25">
        <f t="shared" ref="G828:I828" si="691">G827</f>
        <v>2018</v>
      </c>
      <c r="H828" s="20" t="str">
        <f t="shared" si="691"/>
        <v>opfcdp2018</v>
      </c>
      <c r="I828" s="20" t="str">
        <f t="shared" si="691"/>
        <v>Os princípios FAIR como diretrizes para maximizar o uso e (re)uso dos dados de pesquisa: Traçando um paralelo com a gestão de documentos arquivísticos digitais</v>
      </c>
      <c r="J828" s="20" t="str">
        <f t="shared" si="2"/>
        <v/>
      </c>
      <c r="K828" s="20"/>
      <c r="L828" s="20" t="str">
        <f t="shared" si="3"/>
        <v/>
      </c>
      <c r="M828" s="18"/>
      <c r="N828" s="21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</row>
    <row r="829">
      <c r="A829" s="8"/>
      <c r="B829" s="23"/>
      <c r="C829" s="24"/>
      <c r="D829" s="24"/>
      <c r="E829" s="18"/>
      <c r="F829" s="18"/>
      <c r="G829" s="25">
        <f t="shared" ref="G829:I829" si="692">G828</f>
        <v>2018</v>
      </c>
      <c r="H829" s="20" t="str">
        <f t="shared" si="692"/>
        <v>opfcdp2018</v>
      </c>
      <c r="I829" s="20" t="str">
        <f t="shared" si="692"/>
        <v>Os princípios FAIR como diretrizes para maximizar o uso e (re)uso dos dados de pesquisa: Traçando um paralelo com a gestão de documentos arquivísticos digitais</v>
      </c>
      <c r="J829" s="20" t="str">
        <f t="shared" si="2"/>
        <v/>
      </c>
      <c r="K829" s="20"/>
      <c r="L829" s="20" t="str">
        <f t="shared" si="3"/>
        <v/>
      </c>
      <c r="M829" s="18"/>
      <c r="N829" s="21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</row>
    <row r="830">
      <c r="A830" s="8" t="s">
        <v>54</v>
      </c>
      <c r="B830" s="9">
        <v>2018.0</v>
      </c>
      <c r="C830" s="10" t="s">
        <v>337</v>
      </c>
      <c r="D830" s="10" t="s">
        <v>338</v>
      </c>
      <c r="E830" s="18"/>
      <c r="F830" s="18"/>
      <c r="G830" s="12">
        <f>B830</f>
        <v>2018</v>
      </c>
      <c r="H830" s="13" t="str">
        <f>LOWER(left(O830,1)&amp;left(P830,1)&amp;left(Q830,1)&amp;left(R830,1)&amp;left(S830,1)&amp;left(T830,1))&amp;G830</f>
        <v>pdgddu2018</v>
      </c>
      <c r="I830" s="20" t="str">
        <f>trim(C830)</f>
        <v>Práticas de gestão de dados: Uma revisão da literatura sobre o termo Data Life Cycle</v>
      </c>
      <c r="J830" s="20" t="str">
        <f t="shared" si="2"/>
        <v>Big data</v>
      </c>
      <c r="K830" s="20"/>
      <c r="L830" s="20" t="str">
        <f t="shared" si="3"/>
        <v>big data</v>
      </c>
      <c r="M830" s="18"/>
      <c r="N830" s="21" t="str">
        <f>IFERROR(__xludf.DUMMYFUNCTION("TRANSPOSE(split(D830,"";"",true,true))"),"Big data")</f>
        <v>Big data</v>
      </c>
      <c r="O830" s="6" t="str">
        <f>IFERROR(__xludf.DUMMYFUNCTION("split(C830,"" "")"),"Práticas")</f>
        <v>Práticas</v>
      </c>
      <c r="P830" s="18" t="str">
        <f>IFERROR(__xludf.DUMMYFUNCTION("""COMPUTED_VALUE"""),"de")</f>
        <v>de</v>
      </c>
      <c r="Q830" s="18" t="str">
        <f>IFERROR(__xludf.DUMMYFUNCTION("""COMPUTED_VALUE"""),"gestão")</f>
        <v>gestão</v>
      </c>
      <c r="R830" s="18" t="str">
        <f>IFERROR(__xludf.DUMMYFUNCTION("""COMPUTED_VALUE"""),"de")</f>
        <v>de</v>
      </c>
      <c r="S830" s="18" t="str">
        <f>IFERROR(__xludf.DUMMYFUNCTION("""COMPUTED_VALUE"""),"dados:")</f>
        <v>dados:</v>
      </c>
      <c r="T830" s="18" t="str">
        <f>IFERROR(__xludf.DUMMYFUNCTION("""COMPUTED_VALUE"""),"Uma")</f>
        <v>Uma</v>
      </c>
      <c r="U830" s="18" t="str">
        <f>IFERROR(__xludf.DUMMYFUNCTION("""COMPUTED_VALUE"""),"revisão")</f>
        <v>revisão</v>
      </c>
      <c r="V830" s="18" t="str">
        <f>IFERROR(__xludf.DUMMYFUNCTION("""COMPUTED_VALUE"""),"da")</f>
        <v>da</v>
      </c>
      <c r="W830" s="18" t="str">
        <f>IFERROR(__xludf.DUMMYFUNCTION("""COMPUTED_VALUE"""),"literatura")</f>
        <v>literatura</v>
      </c>
      <c r="X830" s="18" t="str">
        <f>IFERROR(__xludf.DUMMYFUNCTION("""COMPUTED_VALUE"""),"sobre")</f>
        <v>sobre</v>
      </c>
      <c r="Y830" s="18" t="str">
        <f>IFERROR(__xludf.DUMMYFUNCTION("""COMPUTED_VALUE"""),"o")</f>
        <v>o</v>
      </c>
      <c r="Z830" s="18" t="str">
        <f>IFERROR(__xludf.DUMMYFUNCTION("""COMPUTED_VALUE"""),"termo")</f>
        <v>termo</v>
      </c>
      <c r="AA830" s="18" t="str">
        <f>IFERROR(__xludf.DUMMYFUNCTION("""COMPUTED_VALUE"""),"Data")</f>
        <v>Data</v>
      </c>
      <c r="AB830" s="18" t="str">
        <f>IFERROR(__xludf.DUMMYFUNCTION("""COMPUTED_VALUE"""),"Life")</f>
        <v>Life</v>
      </c>
      <c r="AC830" s="18" t="str">
        <f>IFERROR(__xludf.DUMMYFUNCTION("""COMPUTED_VALUE"""),"Cycle")</f>
        <v>Cycle</v>
      </c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</row>
    <row r="831">
      <c r="A831" s="22"/>
      <c r="B831" s="23"/>
      <c r="C831" s="24"/>
      <c r="D831" s="24"/>
      <c r="E831" s="18"/>
      <c r="F831" s="18"/>
      <c r="G831" s="25">
        <f t="shared" ref="G831:I831" si="693">G830</f>
        <v>2018</v>
      </c>
      <c r="H831" s="20" t="str">
        <f t="shared" si="693"/>
        <v>pdgddu2018</v>
      </c>
      <c r="I831" s="20" t="str">
        <f t="shared" si="693"/>
        <v>Práticas de gestão de dados: Uma revisão da literatura sobre o termo Data Life Cycle</v>
      </c>
      <c r="J831" s="20" t="str">
        <f t="shared" si="2"/>
        <v>Ciência da informação</v>
      </c>
      <c r="K831" s="20"/>
      <c r="L831" s="20" t="str">
        <f t="shared" si="3"/>
        <v>ciência da informação</v>
      </c>
      <c r="M831" s="18"/>
      <c r="N831" s="21" t="str">
        <f>IFERROR(__xludf.DUMMYFUNCTION("""COMPUTED_VALUE""")," Ciência da informação")</f>
        <v> Ciência da informação</v>
      </c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</row>
    <row r="832">
      <c r="A832" s="22"/>
      <c r="B832" s="23"/>
      <c r="C832" s="24"/>
      <c r="D832" s="24"/>
      <c r="E832" s="18"/>
      <c r="F832" s="18"/>
      <c r="G832" s="25">
        <f t="shared" ref="G832:I832" si="694">G831</f>
        <v>2018</v>
      </c>
      <c r="H832" s="20" t="str">
        <f t="shared" si="694"/>
        <v>pdgddu2018</v>
      </c>
      <c r="I832" s="20" t="str">
        <f t="shared" si="694"/>
        <v>Práticas de gestão de dados: Uma revisão da literatura sobre o termo Data Life Cycle</v>
      </c>
      <c r="J832" s="20" t="str">
        <f t="shared" si="2"/>
        <v>Ciclo de vida dos dados</v>
      </c>
      <c r="K832" s="20"/>
      <c r="L832" s="20" t="str">
        <f t="shared" si="3"/>
        <v>ciclo de vida dos dados</v>
      </c>
      <c r="M832" s="18"/>
      <c r="N832" s="21" t="str">
        <f>IFERROR(__xludf.DUMMYFUNCTION("""COMPUTED_VALUE""")," Ciclo de vida dos dados")</f>
        <v> Ciclo de vida dos dados</v>
      </c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</row>
    <row r="833">
      <c r="A833" s="22"/>
      <c r="B833" s="23"/>
      <c r="C833" s="24"/>
      <c r="D833" s="24"/>
      <c r="E833" s="18"/>
      <c r="F833" s="18"/>
      <c r="G833" s="25">
        <f t="shared" ref="G833:I833" si="695">G832</f>
        <v>2018</v>
      </c>
      <c r="H833" s="20" t="str">
        <f t="shared" si="695"/>
        <v>pdgddu2018</v>
      </c>
      <c r="I833" s="20" t="str">
        <f t="shared" si="695"/>
        <v>Práticas de gestão de dados: Uma revisão da literatura sobre o termo Data Life Cycle</v>
      </c>
      <c r="J833" s="20" t="str">
        <f t="shared" si="2"/>
        <v>Gestão de dados científicos</v>
      </c>
      <c r="K833" s="20"/>
      <c r="L833" s="20" t="str">
        <f t="shared" si="3"/>
        <v>gestão de dados científicos</v>
      </c>
      <c r="M833" s="18"/>
      <c r="N833" s="21" t="str">
        <f>IFERROR(__xludf.DUMMYFUNCTION("""COMPUTED_VALUE""")," Gestão de dados científicos")</f>
        <v> Gestão de dados científicos</v>
      </c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</row>
    <row r="834">
      <c r="A834" s="22"/>
      <c r="B834" s="23"/>
      <c r="C834" s="24"/>
      <c r="D834" s="24"/>
      <c r="E834" s="18"/>
      <c r="F834" s="18"/>
      <c r="G834" s="25">
        <f t="shared" ref="G834:I834" si="696">G833</f>
        <v>2018</v>
      </c>
      <c r="H834" s="20" t="str">
        <f t="shared" si="696"/>
        <v>pdgddu2018</v>
      </c>
      <c r="I834" s="20" t="str">
        <f t="shared" si="696"/>
        <v>Práticas de gestão de dados: Uma revisão da literatura sobre o termo Data Life Cycle</v>
      </c>
      <c r="J834" s="20" t="str">
        <f t="shared" si="2"/>
        <v/>
      </c>
      <c r="K834" s="20"/>
      <c r="L834" s="20" t="str">
        <f t="shared" si="3"/>
        <v/>
      </c>
      <c r="M834" s="18"/>
      <c r="N834" s="21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</row>
    <row r="835">
      <c r="A835" s="8"/>
      <c r="B835" s="23"/>
      <c r="C835" s="24"/>
      <c r="D835" s="24"/>
      <c r="E835" s="18"/>
      <c r="F835" s="18"/>
      <c r="G835" s="25">
        <f t="shared" ref="G835:I835" si="697">G834</f>
        <v>2018</v>
      </c>
      <c r="H835" s="20" t="str">
        <f t="shared" si="697"/>
        <v>pdgddu2018</v>
      </c>
      <c r="I835" s="20" t="str">
        <f t="shared" si="697"/>
        <v>Práticas de gestão de dados: Uma revisão da literatura sobre o termo Data Life Cycle</v>
      </c>
      <c r="J835" s="20" t="str">
        <f t="shared" si="2"/>
        <v/>
      </c>
      <c r="K835" s="20"/>
      <c r="L835" s="20" t="str">
        <f t="shared" si="3"/>
        <v/>
      </c>
      <c r="M835" s="18"/>
      <c r="N835" s="21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</row>
    <row r="836">
      <c r="A836" s="8" t="s">
        <v>54</v>
      </c>
      <c r="B836" s="9">
        <v>2018.0</v>
      </c>
      <c r="C836" s="10" t="s">
        <v>339</v>
      </c>
      <c r="D836" s="10" t="s">
        <v>340</v>
      </c>
      <c r="E836" s="18"/>
      <c r="F836" s="18"/>
      <c r="G836" s="12">
        <f>B836</f>
        <v>2018</v>
      </c>
      <c r="H836" s="13" t="str">
        <f>LOWER(left(O836,1)&amp;left(P836,1)&amp;left(Q836,1)&amp;left(R836,1)&amp;left(S836,1)&amp;left(T836,1))&amp;G836</f>
        <v>maeics2018</v>
      </c>
      <c r="I836" s="20" t="str">
        <f>trim(C836)</f>
        <v>Metas, ações e indicadores como subsídios para análise da qualidade de dados: Uma inversão necessária entre consequentes e antecedentes</v>
      </c>
      <c r="J836" s="20" t="str">
        <f t="shared" si="2"/>
        <v>Governança corporativa</v>
      </c>
      <c r="K836" s="20"/>
      <c r="L836" s="20" t="str">
        <f t="shared" si="3"/>
        <v>governança corporativa</v>
      </c>
      <c r="M836" s="18"/>
      <c r="N836" s="21" t="str">
        <f>IFERROR(__xludf.DUMMYFUNCTION("TRANSPOSE(split(D836,"";"",true,true))"),"Governança corporativa")</f>
        <v>Governança corporativa</v>
      </c>
      <c r="O836" s="6" t="str">
        <f>IFERROR(__xludf.DUMMYFUNCTION("split(C836,"" "")"),"Metas,")</f>
        <v>Metas,</v>
      </c>
      <c r="P836" s="18" t="str">
        <f>IFERROR(__xludf.DUMMYFUNCTION("""COMPUTED_VALUE"""),"ações")</f>
        <v>ações</v>
      </c>
      <c r="Q836" s="18" t="str">
        <f>IFERROR(__xludf.DUMMYFUNCTION("""COMPUTED_VALUE"""),"e")</f>
        <v>e</v>
      </c>
      <c r="R836" s="18" t="str">
        <f>IFERROR(__xludf.DUMMYFUNCTION("""COMPUTED_VALUE"""),"indicadores")</f>
        <v>indicadores</v>
      </c>
      <c r="S836" s="18" t="str">
        <f>IFERROR(__xludf.DUMMYFUNCTION("""COMPUTED_VALUE"""),"como")</f>
        <v>como</v>
      </c>
      <c r="T836" s="18" t="str">
        <f>IFERROR(__xludf.DUMMYFUNCTION("""COMPUTED_VALUE"""),"subsídios")</f>
        <v>subsídios</v>
      </c>
      <c r="U836" s="18" t="str">
        <f>IFERROR(__xludf.DUMMYFUNCTION("""COMPUTED_VALUE"""),"para")</f>
        <v>para</v>
      </c>
      <c r="V836" s="18" t="str">
        <f>IFERROR(__xludf.DUMMYFUNCTION("""COMPUTED_VALUE"""),"análise")</f>
        <v>análise</v>
      </c>
      <c r="W836" s="18" t="str">
        <f>IFERROR(__xludf.DUMMYFUNCTION("""COMPUTED_VALUE"""),"da")</f>
        <v>da</v>
      </c>
      <c r="X836" s="18" t="str">
        <f>IFERROR(__xludf.DUMMYFUNCTION("""COMPUTED_VALUE"""),"qualidade")</f>
        <v>qualidade</v>
      </c>
      <c r="Y836" s="18" t="str">
        <f>IFERROR(__xludf.DUMMYFUNCTION("""COMPUTED_VALUE"""),"de")</f>
        <v>de</v>
      </c>
      <c r="Z836" s="18" t="str">
        <f>IFERROR(__xludf.DUMMYFUNCTION("""COMPUTED_VALUE"""),"dados:")</f>
        <v>dados:</v>
      </c>
      <c r="AA836" s="18" t="str">
        <f>IFERROR(__xludf.DUMMYFUNCTION("""COMPUTED_VALUE"""),"Uma")</f>
        <v>Uma</v>
      </c>
      <c r="AB836" s="18" t="str">
        <f>IFERROR(__xludf.DUMMYFUNCTION("""COMPUTED_VALUE"""),"inversão")</f>
        <v>inversão</v>
      </c>
      <c r="AC836" s="18" t="str">
        <f>IFERROR(__xludf.DUMMYFUNCTION("""COMPUTED_VALUE"""),"necessária")</f>
        <v>necessária</v>
      </c>
      <c r="AD836" s="18" t="str">
        <f>IFERROR(__xludf.DUMMYFUNCTION("""COMPUTED_VALUE"""),"entre")</f>
        <v>entre</v>
      </c>
      <c r="AE836" s="18" t="str">
        <f>IFERROR(__xludf.DUMMYFUNCTION("""COMPUTED_VALUE"""),"consequentes")</f>
        <v>consequentes</v>
      </c>
      <c r="AF836" s="18" t="str">
        <f>IFERROR(__xludf.DUMMYFUNCTION("""COMPUTED_VALUE"""),"e")</f>
        <v>e</v>
      </c>
      <c r="AG836" s="18" t="str">
        <f>IFERROR(__xludf.DUMMYFUNCTION("""COMPUTED_VALUE"""),"antecedentes")</f>
        <v>antecedentes</v>
      </c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</row>
    <row r="837">
      <c r="A837" s="22"/>
      <c r="B837" s="23"/>
      <c r="C837" s="24"/>
      <c r="D837" s="24"/>
      <c r="E837" s="18"/>
      <c r="F837" s="18"/>
      <c r="G837" s="25">
        <f t="shared" ref="G837:I837" si="698">G836</f>
        <v>2018</v>
      </c>
      <c r="H837" s="20" t="str">
        <f t="shared" si="698"/>
        <v>maeics2018</v>
      </c>
      <c r="I837" s="20" t="str">
        <f t="shared" si="698"/>
        <v>Metas, ações e indicadores como subsídios para análise da qualidade de dados: Uma inversão necessária entre consequentes e antecedentes</v>
      </c>
      <c r="J837" s="20" t="str">
        <f t="shared" si="2"/>
        <v>Governança de TI</v>
      </c>
      <c r="K837" s="20"/>
      <c r="L837" s="20" t="str">
        <f t="shared" si="3"/>
        <v>governança de ti</v>
      </c>
      <c r="M837" s="18"/>
      <c r="N837" s="21" t="str">
        <f>IFERROR(__xludf.DUMMYFUNCTION("""COMPUTED_VALUE""")," Governança de TI")</f>
        <v> Governança de TI</v>
      </c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</row>
    <row r="838">
      <c r="A838" s="22"/>
      <c r="B838" s="23"/>
      <c r="C838" s="24"/>
      <c r="D838" s="24"/>
      <c r="E838" s="18"/>
      <c r="F838" s="18"/>
      <c r="G838" s="25">
        <f t="shared" ref="G838:I838" si="699">G837</f>
        <v>2018</v>
      </c>
      <c r="H838" s="20" t="str">
        <f t="shared" si="699"/>
        <v>maeics2018</v>
      </c>
      <c r="I838" s="20" t="str">
        <f t="shared" si="699"/>
        <v>Metas, ações e indicadores como subsídios para análise da qualidade de dados: Uma inversão necessária entre consequentes e antecedentes</v>
      </c>
      <c r="J838" s="20" t="str">
        <f t="shared" si="2"/>
        <v>Qualidade de dados</v>
      </c>
      <c r="K838" s="20"/>
      <c r="L838" s="20" t="str">
        <f t="shared" si="3"/>
        <v>qualidade de dados</v>
      </c>
      <c r="M838" s="18"/>
      <c r="N838" s="21" t="str">
        <f>IFERROR(__xludf.DUMMYFUNCTION("""COMPUTED_VALUE""")," Qualidade de dados")</f>
        <v> Qualidade de dados</v>
      </c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</row>
    <row r="839">
      <c r="A839" s="22"/>
      <c r="B839" s="23"/>
      <c r="C839" s="24"/>
      <c r="D839" s="24"/>
      <c r="E839" s="18"/>
      <c r="F839" s="18"/>
      <c r="G839" s="25">
        <f t="shared" ref="G839:I839" si="700">G838</f>
        <v>2018</v>
      </c>
      <c r="H839" s="20" t="str">
        <f t="shared" si="700"/>
        <v>maeics2018</v>
      </c>
      <c r="I839" s="20" t="str">
        <f t="shared" si="700"/>
        <v>Metas, ações e indicadores como subsídios para análise da qualidade de dados: Uma inversão necessária entre consequentes e antecedentes</v>
      </c>
      <c r="J839" s="20" t="str">
        <f t="shared" si="2"/>
        <v>Planejamento estratégico</v>
      </c>
      <c r="K839" s="20"/>
      <c r="L839" s="20" t="str">
        <f t="shared" si="3"/>
        <v>planejamento estratégico</v>
      </c>
      <c r="M839" s="18"/>
      <c r="N839" s="21" t="str">
        <f>IFERROR(__xludf.DUMMYFUNCTION("""COMPUTED_VALUE""")," Planejamento estratégico")</f>
        <v> Planejamento estratégico</v>
      </c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</row>
    <row r="840">
      <c r="A840" s="22"/>
      <c r="B840" s="23"/>
      <c r="C840" s="24"/>
      <c r="D840" s="24"/>
      <c r="E840" s="18"/>
      <c r="F840" s="18"/>
      <c r="G840" s="25">
        <f t="shared" ref="G840:I840" si="701">G839</f>
        <v>2018</v>
      </c>
      <c r="H840" s="20" t="str">
        <f t="shared" si="701"/>
        <v>maeics2018</v>
      </c>
      <c r="I840" s="20" t="str">
        <f t="shared" si="701"/>
        <v>Metas, ações e indicadores como subsídios para análise da qualidade de dados: Uma inversão necessária entre consequentes e antecedentes</v>
      </c>
      <c r="J840" s="20" t="str">
        <f t="shared" si="2"/>
        <v/>
      </c>
      <c r="K840" s="20"/>
      <c r="L840" s="20" t="str">
        <f t="shared" si="3"/>
        <v/>
      </c>
      <c r="M840" s="18"/>
      <c r="N840" s="21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</row>
    <row r="841">
      <c r="A841" s="8"/>
      <c r="B841" s="23"/>
      <c r="C841" s="24"/>
      <c r="D841" s="24"/>
      <c r="E841" s="18"/>
      <c r="F841" s="18"/>
      <c r="G841" s="25">
        <f t="shared" ref="G841:I841" si="702">G840</f>
        <v>2018</v>
      </c>
      <c r="H841" s="20" t="str">
        <f t="shared" si="702"/>
        <v>maeics2018</v>
      </c>
      <c r="I841" s="20" t="str">
        <f t="shared" si="702"/>
        <v>Metas, ações e indicadores como subsídios para análise da qualidade de dados: Uma inversão necessária entre consequentes e antecedentes</v>
      </c>
      <c r="J841" s="20" t="str">
        <f t="shared" si="2"/>
        <v/>
      </c>
      <c r="K841" s="20"/>
      <c r="L841" s="20" t="str">
        <f t="shared" si="3"/>
        <v/>
      </c>
      <c r="M841" s="18"/>
      <c r="N841" s="21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</row>
    <row r="842">
      <c r="A842" s="8" t="s">
        <v>54</v>
      </c>
      <c r="B842" s="9">
        <v>2018.0</v>
      </c>
      <c r="C842" s="10" t="s">
        <v>341</v>
      </c>
      <c r="D842" s="10" t="s">
        <v>342</v>
      </c>
      <c r="E842" s="18"/>
      <c r="F842" s="18"/>
      <c r="G842" s="12">
        <f>B842</f>
        <v>2018</v>
      </c>
      <c r="H842" s="13" t="str">
        <f>LOWER(left(O842,1)&amp;left(P842,1)&amp;left(Q842,1)&amp;left(R842,1)&amp;left(S842,1)&amp;left(T842,1))&amp;G842</f>
        <v>pdaece2018</v>
      </c>
      <c r="I842" s="20" t="str">
        <f>trim(C842)</f>
        <v>Previsões de ausência em cuidados especializados em Unidades de Saúde Pública de Florianópolis</v>
      </c>
      <c r="J842" s="20" t="str">
        <f t="shared" si="2"/>
        <v>Absenteísmo</v>
      </c>
      <c r="K842" s="20"/>
      <c r="L842" s="20" t="str">
        <f t="shared" si="3"/>
        <v>absenteísmo</v>
      </c>
      <c r="M842" s="18"/>
      <c r="N842" s="21" t="str">
        <f>IFERROR(__xludf.DUMMYFUNCTION("TRANSPOSE(split(D842,"";"",true,true))"),"Absenteísmo")</f>
        <v>Absenteísmo</v>
      </c>
      <c r="O842" s="6" t="str">
        <f>IFERROR(__xludf.DUMMYFUNCTION("split(C842,"" "")"),"Previsões")</f>
        <v>Previsões</v>
      </c>
      <c r="P842" s="18" t="str">
        <f>IFERROR(__xludf.DUMMYFUNCTION("""COMPUTED_VALUE"""),"de")</f>
        <v>de</v>
      </c>
      <c r="Q842" s="18" t="str">
        <f>IFERROR(__xludf.DUMMYFUNCTION("""COMPUTED_VALUE"""),"ausência")</f>
        <v>ausência</v>
      </c>
      <c r="R842" s="18" t="str">
        <f>IFERROR(__xludf.DUMMYFUNCTION("""COMPUTED_VALUE"""),"em")</f>
        <v>em</v>
      </c>
      <c r="S842" s="18" t="str">
        <f>IFERROR(__xludf.DUMMYFUNCTION("""COMPUTED_VALUE"""),"cuidados")</f>
        <v>cuidados</v>
      </c>
      <c r="T842" s="18" t="str">
        <f>IFERROR(__xludf.DUMMYFUNCTION("""COMPUTED_VALUE"""),"especializados")</f>
        <v>especializados</v>
      </c>
      <c r="U842" s="18" t="str">
        <f>IFERROR(__xludf.DUMMYFUNCTION("""COMPUTED_VALUE"""),"em")</f>
        <v>em</v>
      </c>
      <c r="V842" s="18" t="str">
        <f>IFERROR(__xludf.DUMMYFUNCTION("""COMPUTED_VALUE"""),"Unidades")</f>
        <v>Unidades</v>
      </c>
      <c r="W842" s="18" t="str">
        <f>IFERROR(__xludf.DUMMYFUNCTION("""COMPUTED_VALUE"""),"de")</f>
        <v>de</v>
      </c>
      <c r="X842" s="18" t="str">
        <f>IFERROR(__xludf.DUMMYFUNCTION("""COMPUTED_VALUE"""),"Saúde")</f>
        <v>Saúde</v>
      </c>
      <c r="Y842" s="18" t="str">
        <f>IFERROR(__xludf.DUMMYFUNCTION("""COMPUTED_VALUE"""),"Pública")</f>
        <v>Pública</v>
      </c>
      <c r="Z842" s="18" t="str">
        <f>IFERROR(__xludf.DUMMYFUNCTION("""COMPUTED_VALUE"""),"de")</f>
        <v>de</v>
      </c>
      <c r="AA842" s="18" t="str">
        <f>IFERROR(__xludf.DUMMYFUNCTION("""COMPUTED_VALUE"""),"Florianópolis")</f>
        <v>Florianópolis</v>
      </c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</row>
    <row r="843">
      <c r="A843" s="22"/>
      <c r="B843" s="23"/>
      <c r="C843" s="24"/>
      <c r="D843" s="24"/>
      <c r="E843" s="18"/>
      <c r="F843" s="18"/>
      <c r="G843" s="25">
        <f t="shared" ref="G843:I843" si="703">G842</f>
        <v>2018</v>
      </c>
      <c r="H843" s="20" t="str">
        <f t="shared" si="703"/>
        <v>pdaece2018</v>
      </c>
      <c r="I843" s="20" t="str">
        <f t="shared" si="703"/>
        <v>Previsões de ausência em cuidados especializados em Unidades de Saúde Pública de Florianópolis</v>
      </c>
      <c r="J843" s="20" t="str">
        <f t="shared" si="2"/>
        <v>Consultas médicas especializadas</v>
      </c>
      <c r="K843" s="20"/>
      <c r="L843" s="20" t="str">
        <f t="shared" si="3"/>
        <v>consultas médicas especializadas</v>
      </c>
      <c r="M843" s="18"/>
      <c r="N843" s="21" t="str">
        <f>IFERROR(__xludf.DUMMYFUNCTION("""COMPUTED_VALUE""")," Consultas médicas especializadas")</f>
        <v> Consultas médicas especializadas</v>
      </c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</row>
    <row r="844">
      <c r="A844" s="22"/>
      <c r="B844" s="23"/>
      <c r="C844" s="24"/>
      <c r="D844" s="24"/>
      <c r="E844" s="18"/>
      <c r="F844" s="18"/>
      <c r="G844" s="25">
        <f t="shared" ref="G844:I844" si="704">G843</f>
        <v>2018</v>
      </c>
      <c r="H844" s="20" t="str">
        <f t="shared" si="704"/>
        <v>pdaece2018</v>
      </c>
      <c r="I844" s="20" t="str">
        <f t="shared" si="704"/>
        <v>Previsões de ausência em cuidados especializados em Unidades de Saúde Pública de Florianópolis</v>
      </c>
      <c r="J844" s="20" t="str">
        <f t="shared" si="2"/>
        <v>Faltas preditivas</v>
      </c>
      <c r="K844" s="20"/>
      <c r="L844" s="20" t="str">
        <f t="shared" si="3"/>
        <v>faltas preditivas</v>
      </c>
      <c r="M844" s="18"/>
      <c r="N844" s="21" t="str">
        <f>IFERROR(__xludf.DUMMYFUNCTION("""COMPUTED_VALUE""")," Faltas preditivas")</f>
        <v> Faltas preditivas</v>
      </c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</row>
    <row r="845">
      <c r="A845" s="22"/>
      <c r="B845" s="23"/>
      <c r="C845" s="24"/>
      <c r="D845" s="24"/>
      <c r="E845" s="18"/>
      <c r="F845" s="18"/>
      <c r="G845" s="25">
        <f t="shared" ref="G845:I845" si="705">G844</f>
        <v>2018</v>
      </c>
      <c r="H845" s="20" t="str">
        <f t="shared" si="705"/>
        <v>pdaece2018</v>
      </c>
      <c r="I845" s="20" t="str">
        <f t="shared" si="705"/>
        <v>Previsões de ausência em cuidados especializados em Unidades de Saúde Pública de Florianópolis</v>
      </c>
      <c r="J845" s="20" t="str">
        <f t="shared" si="2"/>
        <v>Unidades de Saúde Pública de Florianópolis</v>
      </c>
      <c r="K845" s="20"/>
      <c r="L845" s="20" t="str">
        <f t="shared" si="3"/>
        <v>unidades de saúde pública de florianópolis</v>
      </c>
      <c r="M845" s="18"/>
      <c r="N845" s="21" t="str">
        <f>IFERROR(__xludf.DUMMYFUNCTION("""COMPUTED_VALUE""")," Unidades de Saúde Pública de Florianópolis")</f>
        <v> Unidades de Saúde Pública de Florianópolis</v>
      </c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</row>
    <row r="846">
      <c r="A846" s="22"/>
      <c r="B846" s="23"/>
      <c r="C846" s="24"/>
      <c r="D846" s="24"/>
      <c r="E846" s="18"/>
      <c r="F846" s="18"/>
      <c r="G846" s="25">
        <f t="shared" ref="G846:I846" si="706">G845</f>
        <v>2018</v>
      </c>
      <c r="H846" s="20" t="str">
        <f t="shared" si="706"/>
        <v>pdaece2018</v>
      </c>
      <c r="I846" s="20" t="str">
        <f t="shared" si="706"/>
        <v>Previsões de ausência em cuidados especializados em Unidades de Saúde Pública de Florianópolis</v>
      </c>
      <c r="J846" s="20" t="str">
        <f t="shared" si="2"/>
        <v/>
      </c>
      <c r="K846" s="20"/>
      <c r="L846" s="20" t="str">
        <f t="shared" si="3"/>
        <v/>
      </c>
      <c r="M846" s="18"/>
      <c r="N846" s="21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</row>
    <row r="847">
      <c r="A847" s="8"/>
      <c r="B847" s="23"/>
      <c r="C847" s="24"/>
      <c r="D847" s="24"/>
      <c r="E847" s="18"/>
      <c r="F847" s="18"/>
      <c r="G847" s="25">
        <f t="shared" ref="G847:I847" si="707">G846</f>
        <v>2018</v>
      </c>
      <c r="H847" s="20" t="str">
        <f t="shared" si="707"/>
        <v>pdaece2018</v>
      </c>
      <c r="I847" s="20" t="str">
        <f t="shared" si="707"/>
        <v>Previsões de ausência em cuidados especializados em Unidades de Saúde Pública de Florianópolis</v>
      </c>
      <c r="J847" s="20" t="str">
        <f t="shared" si="2"/>
        <v/>
      </c>
      <c r="K847" s="20"/>
      <c r="L847" s="20" t="str">
        <f t="shared" si="3"/>
        <v/>
      </c>
      <c r="M847" s="18"/>
      <c r="N847" s="21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</row>
    <row r="848">
      <c r="A848" s="8" t="s">
        <v>54</v>
      </c>
      <c r="B848" s="9">
        <v>2018.0</v>
      </c>
      <c r="C848" s="10" t="s">
        <v>343</v>
      </c>
      <c r="D848" s="10" t="s">
        <v>344</v>
      </c>
      <c r="E848" s="18"/>
      <c r="F848" s="18"/>
      <c r="G848" s="12">
        <f>B848</f>
        <v>2018</v>
      </c>
      <c r="H848" s="13" t="str">
        <f>LOWER(left(O848,1)&amp;left(P848,1)&amp;left(Q848,1)&amp;left(R848,1)&amp;left(S848,1)&amp;left(T848,1))&amp;G848</f>
        <v>acdrdd2018</v>
      </c>
      <c r="I848" s="20" t="str">
        <f>trim(C848)</f>
        <v>A construção do repositório de dados da UFPB: A experiência com o dataset de Arboviroses</v>
      </c>
      <c r="J848" s="20" t="str">
        <f t="shared" si="2"/>
        <v>Repositório de Dados</v>
      </c>
      <c r="K848" s="20"/>
      <c r="L848" s="20" t="str">
        <f t="shared" si="3"/>
        <v>repositório de dados</v>
      </c>
      <c r="M848" s="18"/>
      <c r="N848" s="21" t="str">
        <f>IFERROR(__xludf.DUMMYFUNCTION("TRANSPOSE(split(D848,"";"",true,true))"),"Repositório de Dados")</f>
        <v>Repositório de Dados</v>
      </c>
      <c r="O848" s="6" t="str">
        <f>IFERROR(__xludf.DUMMYFUNCTION("split(C848,"" "")"),"A")</f>
        <v>A</v>
      </c>
      <c r="P848" s="18" t="str">
        <f>IFERROR(__xludf.DUMMYFUNCTION("""COMPUTED_VALUE"""),"construção")</f>
        <v>construção</v>
      </c>
      <c r="Q848" s="18" t="str">
        <f>IFERROR(__xludf.DUMMYFUNCTION("""COMPUTED_VALUE"""),"do")</f>
        <v>do</v>
      </c>
      <c r="R848" s="18" t="str">
        <f>IFERROR(__xludf.DUMMYFUNCTION("""COMPUTED_VALUE"""),"repositório")</f>
        <v>repositório</v>
      </c>
      <c r="S848" s="18" t="str">
        <f>IFERROR(__xludf.DUMMYFUNCTION("""COMPUTED_VALUE"""),"de")</f>
        <v>de</v>
      </c>
      <c r="T848" s="18" t="str">
        <f>IFERROR(__xludf.DUMMYFUNCTION("""COMPUTED_VALUE"""),"dados")</f>
        <v>dados</v>
      </c>
      <c r="U848" s="18" t="str">
        <f>IFERROR(__xludf.DUMMYFUNCTION("""COMPUTED_VALUE"""),"da")</f>
        <v>da</v>
      </c>
      <c r="V848" s="18" t="str">
        <f>IFERROR(__xludf.DUMMYFUNCTION("""COMPUTED_VALUE"""),"UFPB:")</f>
        <v>UFPB:</v>
      </c>
      <c r="W848" s="18" t="str">
        <f>IFERROR(__xludf.DUMMYFUNCTION("""COMPUTED_VALUE"""),"A")</f>
        <v>A</v>
      </c>
      <c r="X848" s="18" t="str">
        <f>IFERROR(__xludf.DUMMYFUNCTION("""COMPUTED_VALUE"""),"experiência")</f>
        <v>experiência</v>
      </c>
      <c r="Y848" s="18" t="str">
        <f>IFERROR(__xludf.DUMMYFUNCTION("""COMPUTED_VALUE"""),"com")</f>
        <v>com</v>
      </c>
      <c r="Z848" s="18" t="str">
        <f>IFERROR(__xludf.DUMMYFUNCTION("""COMPUTED_VALUE"""),"o")</f>
        <v>o</v>
      </c>
      <c r="AA848" s="18" t="str">
        <f>IFERROR(__xludf.DUMMYFUNCTION("""COMPUTED_VALUE"""),"dataset")</f>
        <v>dataset</v>
      </c>
      <c r="AB848" s="18" t="str">
        <f>IFERROR(__xludf.DUMMYFUNCTION("""COMPUTED_VALUE"""),"de")</f>
        <v>de</v>
      </c>
      <c r="AC848" s="18" t="str">
        <f>IFERROR(__xludf.DUMMYFUNCTION("""COMPUTED_VALUE"""),"Arboviroses")</f>
        <v>Arboviroses</v>
      </c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</row>
    <row r="849">
      <c r="A849" s="22"/>
      <c r="B849" s="23"/>
      <c r="C849" s="24"/>
      <c r="D849" s="24"/>
      <c r="E849" s="18"/>
      <c r="F849" s="18"/>
      <c r="G849" s="25">
        <f t="shared" ref="G849:I849" si="708">G848</f>
        <v>2018</v>
      </c>
      <c r="H849" s="20" t="str">
        <f t="shared" si="708"/>
        <v>acdrdd2018</v>
      </c>
      <c r="I849" s="20" t="str">
        <f t="shared" si="708"/>
        <v>A construção do repositório de dados da UFPB: A experiência com o dataset de Arboviroses</v>
      </c>
      <c r="J849" s="20" t="str">
        <f t="shared" si="2"/>
        <v>Dataverse</v>
      </c>
      <c r="K849" s="20"/>
      <c r="L849" s="20" t="str">
        <f t="shared" si="3"/>
        <v>dataverse</v>
      </c>
      <c r="M849" s="18"/>
      <c r="N849" s="21" t="str">
        <f>IFERROR(__xludf.DUMMYFUNCTION("""COMPUTED_VALUE""")," Dataverse")</f>
        <v> Dataverse</v>
      </c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</row>
    <row r="850">
      <c r="A850" s="22"/>
      <c r="B850" s="23"/>
      <c r="C850" s="24"/>
      <c r="D850" s="24"/>
      <c r="E850" s="18"/>
      <c r="F850" s="18"/>
      <c r="G850" s="25">
        <f t="shared" ref="G850:I850" si="709">G849</f>
        <v>2018</v>
      </c>
      <c r="H850" s="20" t="str">
        <f t="shared" si="709"/>
        <v>acdrdd2018</v>
      </c>
      <c r="I850" s="20" t="str">
        <f t="shared" si="709"/>
        <v>A construção do repositório de dados da UFPB: A experiência com o dataset de Arboviroses</v>
      </c>
      <c r="J850" s="20" t="str">
        <f t="shared" si="2"/>
        <v>Dataset Arboviroses</v>
      </c>
      <c r="K850" s="20"/>
      <c r="L850" s="20" t="str">
        <f t="shared" si="3"/>
        <v>dataset arboviroses</v>
      </c>
      <c r="M850" s="18"/>
      <c r="N850" s="21" t="str">
        <f>IFERROR(__xludf.DUMMYFUNCTION("""COMPUTED_VALUE""")," Dataset Arboviroses")</f>
        <v> Dataset Arboviroses</v>
      </c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</row>
    <row r="851">
      <c r="A851" s="22"/>
      <c r="B851" s="23"/>
      <c r="C851" s="24"/>
      <c r="D851" s="24"/>
      <c r="E851" s="18"/>
      <c r="F851" s="18"/>
      <c r="G851" s="25">
        <f t="shared" ref="G851:I851" si="710">G850</f>
        <v>2018</v>
      </c>
      <c r="H851" s="20" t="str">
        <f t="shared" si="710"/>
        <v>acdrdd2018</v>
      </c>
      <c r="I851" s="20" t="str">
        <f t="shared" si="710"/>
        <v>A construção do repositório de dados da UFPB: A experiência com o dataset de Arboviroses</v>
      </c>
      <c r="J851" s="20" t="str">
        <f t="shared" si="2"/>
        <v>Curadoria de Dados</v>
      </c>
      <c r="K851" s="20"/>
      <c r="L851" s="20" t="str">
        <f t="shared" si="3"/>
        <v>curadoria de dados</v>
      </c>
      <c r="M851" s="18"/>
      <c r="N851" s="21" t="str">
        <f>IFERROR(__xludf.DUMMYFUNCTION("""COMPUTED_VALUE""")," Curadoria de Dados")</f>
        <v> Curadoria de Dados</v>
      </c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</row>
    <row r="852">
      <c r="A852" s="22"/>
      <c r="B852" s="23"/>
      <c r="C852" s="24"/>
      <c r="D852" s="24"/>
      <c r="E852" s="18"/>
      <c r="F852" s="18"/>
      <c r="G852" s="25">
        <f t="shared" ref="G852:I852" si="711">G851</f>
        <v>2018</v>
      </c>
      <c r="H852" s="20" t="str">
        <f t="shared" si="711"/>
        <v>acdrdd2018</v>
      </c>
      <c r="I852" s="20" t="str">
        <f t="shared" si="711"/>
        <v>A construção do repositório de dados da UFPB: A experiência com o dataset de Arboviroses</v>
      </c>
      <c r="J852" s="20" t="str">
        <f t="shared" si="2"/>
        <v>Ciência Aberta</v>
      </c>
      <c r="K852" s="20"/>
      <c r="L852" s="20" t="str">
        <f t="shared" si="3"/>
        <v>ciência aberta</v>
      </c>
      <c r="M852" s="18"/>
      <c r="N852" s="21" t="str">
        <f>IFERROR(__xludf.DUMMYFUNCTION("""COMPUTED_VALUE""")," Ciência Aberta")</f>
        <v> Ciência Aberta</v>
      </c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</row>
    <row r="853">
      <c r="A853" s="8"/>
      <c r="B853" s="23"/>
      <c r="C853" s="24"/>
      <c r="D853" s="24"/>
      <c r="E853" s="18"/>
      <c r="F853" s="18"/>
      <c r="G853" s="25">
        <f t="shared" ref="G853:I853" si="712">G852</f>
        <v>2018</v>
      </c>
      <c r="H853" s="20" t="str">
        <f t="shared" si="712"/>
        <v>acdrdd2018</v>
      </c>
      <c r="I853" s="20" t="str">
        <f t="shared" si="712"/>
        <v>A construção do repositório de dados da UFPB: A experiência com o dataset de Arboviroses</v>
      </c>
      <c r="J853" s="20" t="str">
        <f t="shared" si="2"/>
        <v/>
      </c>
      <c r="K853" s="20"/>
      <c r="L853" s="20" t="str">
        <f t="shared" si="3"/>
        <v/>
      </c>
      <c r="M853" s="18"/>
      <c r="N853" s="21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</row>
    <row r="854">
      <c r="A854" s="8" t="s">
        <v>54</v>
      </c>
      <c r="B854" s="9">
        <v>2018.0</v>
      </c>
      <c r="C854" s="10" t="s">
        <v>345</v>
      </c>
      <c r="D854" s="10" t="s">
        <v>346</v>
      </c>
      <c r="E854" s="18"/>
      <c r="F854" s="18"/>
      <c r="G854" s="12">
        <f>B854</f>
        <v>2018</v>
      </c>
      <c r="H854" s="13" t="str">
        <f>LOWER(left(O854,1)&amp;left(P854,1)&amp;left(Q854,1)&amp;left(R854,1)&amp;left(S854,1)&amp;left(T854,1))&amp;G854</f>
        <v>piadmd2018</v>
      </c>
      <c r="I854" s="20" t="str">
        <f>trim(C854)</f>
        <v>Pornografia infantil: Análise de Manuais de Pedofilia</v>
      </c>
      <c r="J854" s="20" t="str">
        <f t="shared" si="2"/>
        <v>Pornografia Infantil</v>
      </c>
      <c r="K854" s="20"/>
      <c r="L854" s="20" t="str">
        <f t="shared" si="3"/>
        <v>pornografia infantil</v>
      </c>
      <c r="M854" s="18"/>
      <c r="N854" s="21" t="str">
        <f>IFERROR(__xludf.DUMMYFUNCTION("TRANSPOSE(split(D854,"";"",true,true))"),"Pornografia Infantil")</f>
        <v>Pornografia Infantil</v>
      </c>
      <c r="O854" s="6" t="str">
        <f>IFERROR(__xludf.DUMMYFUNCTION("split(C854,"" "")"),"Pornografia")</f>
        <v>Pornografia</v>
      </c>
      <c r="P854" s="18" t="str">
        <f>IFERROR(__xludf.DUMMYFUNCTION("""COMPUTED_VALUE"""),"infantil:")</f>
        <v>infantil:</v>
      </c>
      <c r="Q854" s="18" t="str">
        <f>IFERROR(__xludf.DUMMYFUNCTION("""COMPUTED_VALUE"""),"Análise")</f>
        <v>Análise</v>
      </c>
      <c r="R854" s="18" t="str">
        <f>IFERROR(__xludf.DUMMYFUNCTION("""COMPUTED_VALUE"""),"de")</f>
        <v>de</v>
      </c>
      <c r="S854" s="18" t="str">
        <f>IFERROR(__xludf.DUMMYFUNCTION("""COMPUTED_VALUE"""),"Manuais")</f>
        <v>Manuais</v>
      </c>
      <c r="T854" s="18" t="str">
        <f>IFERROR(__xludf.DUMMYFUNCTION("""COMPUTED_VALUE"""),"de")</f>
        <v>de</v>
      </c>
      <c r="U854" s="18" t="str">
        <f>IFERROR(__xludf.DUMMYFUNCTION("""COMPUTED_VALUE"""),"Pedofilia")</f>
        <v>Pedofilia</v>
      </c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</row>
    <row r="855">
      <c r="A855" s="22"/>
      <c r="B855" s="23"/>
      <c r="C855" s="24"/>
      <c r="D855" s="24"/>
      <c r="E855" s="18"/>
      <c r="F855" s="18"/>
      <c r="G855" s="25">
        <f t="shared" ref="G855:I855" si="713">G854</f>
        <v>2018</v>
      </c>
      <c r="H855" s="20" t="str">
        <f t="shared" si="713"/>
        <v>piadmd2018</v>
      </c>
      <c r="I855" s="20" t="str">
        <f t="shared" si="713"/>
        <v>Pornografia infantil: Análise de Manuais de Pedofilia</v>
      </c>
      <c r="J855" s="20" t="str">
        <f t="shared" si="2"/>
        <v>Sociedade da Informação</v>
      </c>
      <c r="K855" s="20"/>
      <c r="L855" s="20" t="str">
        <f t="shared" si="3"/>
        <v>sociedade da informação</v>
      </c>
      <c r="M855" s="18"/>
      <c r="N855" s="21" t="str">
        <f>IFERROR(__xludf.DUMMYFUNCTION("""COMPUTED_VALUE""")," Sociedade da Informação")</f>
        <v> Sociedade da Informação</v>
      </c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</row>
    <row r="856">
      <c r="A856" s="22"/>
      <c r="B856" s="23"/>
      <c r="C856" s="24"/>
      <c r="D856" s="24"/>
      <c r="E856" s="18"/>
      <c r="F856" s="18"/>
      <c r="G856" s="25">
        <f t="shared" ref="G856:I856" si="714">G855</f>
        <v>2018</v>
      </c>
      <c r="H856" s="20" t="str">
        <f t="shared" si="714"/>
        <v>piadmd2018</v>
      </c>
      <c r="I856" s="20" t="str">
        <f t="shared" si="714"/>
        <v>Pornografia infantil: Análise de Manuais de Pedofilia</v>
      </c>
      <c r="J856" s="20" t="str">
        <f t="shared" si="2"/>
        <v>Prevenção</v>
      </c>
      <c r="K856" s="20"/>
      <c r="L856" s="20" t="str">
        <f t="shared" si="3"/>
        <v>prevenção</v>
      </c>
      <c r="M856" s="18"/>
      <c r="N856" s="21" t="str">
        <f>IFERROR(__xludf.DUMMYFUNCTION("""COMPUTED_VALUE""")," Prevenção")</f>
        <v> Prevenção</v>
      </c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</row>
    <row r="857">
      <c r="A857" s="22"/>
      <c r="B857" s="23"/>
      <c r="C857" s="24"/>
      <c r="D857" s="24"/>
      <c r="E857" s="18"/>
      <c r="F857" s="18"/>
      <c r="G857" s="25">
        <f t="shared" ref="G857:I857" si="715">G856</f>
        <v>2018</v>
      </c>
      <c r="H857" s="20" t="str">
        <f t="shared" si="715"/>
        <v>piadmd2018</v>
      </c>
      <c r="I857" s="20" t="str">
        <f t="shared" si="715"/>
        <v>Pornografia infantil: Análise de Manuais de Pedofilia</v>
      </c>
      <c r="J857" s="20" t="str">
        <f t="shared" si="2"/>
        <v/>
      </c>
      <c r="K857" s="20"/>
      <c r="L857" s="20" t="str">
        <f t="shared" si="3"/>
        <v/>
      </c>
      <c r="M857" s="18"/>
      <c r="N857" s="21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</row>
    <row r="858">
      <c r="A858" s="22"/>
      <c r="B858" s="23"/>
      <c r="C858" s="24"/>
      <c r="D858" s="24"/>
      <c r="E858" s="18"/>
      <c r="F858" s="18"/>
      <c r="G858" s="25">
        <f t="shared" ref="G858:I858" si="716">G857</f>
        <v>2018</v>
      </c>
      <c r="H858" s="20" t="str">
        <f t="shared" si="716"/>
        <v>piadmd2018</v>
      </c>
      <c r="I858" s="20" t="str">
        <f t="shared" si="716"/>
        <v>Pornografia infantil: Análise de Manuais de Pedofilia</v>
      </c>
      <c r="J858" s="20" t="str">
        <f t="shared" si="2"/>
        <v/>
      </c>
      <c r="K858" s="20"/>
      <c r="L858" s="20" t="str">
        <f t="shared" si="3"/>
        <v/>
      </c>
      <c r="M858" s="18"/>
      <c r="N858" s="21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</row>
    <row r="859">
      <c r="A859" s="8"/>
      <c r="B859" s="23"/>
      <c r="C859" s="24"/>
      <c r="D859" s="24"/>
      <c r="E859" s="18"/>
      <c r="F859" s="18"/>
      <c r="G859" s="25">
        <f t="shared" ref="G859:I859" si="717">G858</f>
        <v>2018</v>
      </c>
      <c r="H859" s="20" t="str">
        <f t="shared" si="717"/>
        <v>piadmd2018</v>
      </c>
      <c r="I859" s="20" t="str">
        <f t="shared" si="717"/>
        <v>Pornografia infantil: Análise de Manuais de Pedofilia</v>
      </c>
      <c r="J859" s="20" t="str">
        <f t="shared" si="2"/>
        <v/>
      </c>
      <c r="K859" s="20"/>
      <c r="L859" s="20" t="str">
        <f t="shared" si="3"/>
        <v/>
      </c>
      <c r="M859" s="18"/>
      <c r="N859" s="21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</row>
    <row r="860">
      <c r="A860" s="8" t="s">
        <v>54</v>
      </c>
      <c r="B860" s="9">
        <v>2018.0</v>
      </c>
      <c r="C860" s="10" t="s">
        <v>347</v>
      </c>
      <c r="D860" s="10" t="s">
        <v>348</v>
      </c>
      <c r="E860" s="18"/>
      <c r="F860" s="18"/>
      <c r="G860" s="12">
        <f>B860</f>
        <v>2018</v>
      </c>
      <c r="H860" s="13" t="str">
        <f>LOWER(left(O860,1)&amp;left(P860,1)&amp;left(Q860,1)&amp;left(R860,1)&amp;left(S860,1)&amp;left(T860,1))&amp;G860</f>
        <v>acdiea2018</v>
      </c>
      <c r="I860" s="20" t="str">
        <f>trim(C860)</f>
        <v>A Ciência da Informação e a educação em gestão e curadoria de dados de pesquisa</v>
      </c>
      <c r="J860" s="20" t="str">
        <f t="shared" si="2"/>
        <v>Ciência da Informação – Educação</v>
      </c>
      <c r="K860" s="20"/>
      <c r="L860" s="20" t="str">
        <f t="shared" si="3"/>
        <v>ciência da informação – educação</v>
      </c>
      <c r="M860" s="18"/>
      <c r="N860" s="21" t="str">
        <f>IFERROR(__xludf.DUMMYFUNCTION("TRANSPOSE(split(D860,"";"",true,true))"),"Ciência da Informação – Educação")</f>
        <v>Ciência da Informação – Educação</v>
      </c>
      <c r="O860" s="6" t="str">
        <f>IFERROR(__xludf.DUMMYFUNCTION("split(C860,"" "")"),"A")</f>
        <v>A</v>
      </c>
      <c r="P860" s="18" t="str">
        <f>IFERROR(__xludf.DUMMYFUNCTION("""COMPUTED_VALUE"""),"Ciência")</f>
        <v>Ciência</v>
      </c>
      <c r="Q860" s="18" t="str">
        <f>IFERROR(__xludf.DUMMYFUNCTION("""COMPUTED_VALUE"""),"da")</f>
        <v>da</v>
      </c>
      <c r="R860" s="18" t="str">
        <f>IFERROR(__xludf.DUMMYFUNCTION("""COMPUTED_VALUE"""),"Informação")</f>
        <v>Informação</v>
      </c>
      <c r="S860" s="18" t="str">
        <f>IFERROR(__xludf.DUMMYFUNCTION("""COMPUTED_VALUE"""),"e")</f>
        <v>e</v>
      </c>
      <c r="T860" s="18" t="str">
        <f>IFERROR(__xludf.DUMMYFUNCTION("""COMPUTED_VALUE"""),"a")</f>
        <v>a</v>
      </c>
      <c r="U860" s="18" t="str">
        <f>IFERROR(__xludf.DUMMYFUNCTION("""COMPUTED_VALUE"""),"educação")</f>
        <v>educação</v>
      </c>
      <c r="V860" s="18" t="str">
        <f>IFERROR(__xludf.DUMMYFUNCTION("""COMPUTED_VALUE"""),"em")</f>
        <v>em</v>
      </c>
      <c r="W860" s="18" t="str">
        <f>IFERROR(__xludf.DUMMYFUNCTION("""COMPUTED_VALUE"""),"gestão")</f>
        <v>gestão</v>
      </c>
      <c r="X860" s="18" t="str">
        <f>IFERROR(__xludf.DUMMYFUNCTION("""COMPUTED_VALUE"""),"e")</f>
        <v>e</v>
      </c>
      <c r="Y860" s="18" t="str">
        <f>IFERROR(__xludf.DUMMYFUNCTION("""COMPUTED_VALUE"""),"curadoria")</f>
        <v>curadoria</v>
      </c>
      <c r="Z860" s="18" t="str">
        <f>IFERROR(__xludf.DUMMYFUNCTION("""COMPUTED_VALUE"""),"de")</f>
        <v>de</v>
      </c>
      <c r="AA860" s="18" t="str">
        <f>IFERROR(__xludf.DUMMYFUNCTION("""COMPUTED_VALUE"""),"dados")</f>
        <v>dados</v>
      </c>
      <c r="AB860" s="18" t="str">
        <f>IFERROR(__xludf.DUMMYFUNCTION("""COMPUTED_VALUE"""),"de")</f>
        <v>de</v>
      </c>
      <c r="AC860" s="18" t="str">
        <f>IFERROR(__xludf.DUMMYFUNCTION("""COMPUTED_VALUE"""),"pesquisa")</f>
        <v>pesquisa</v>
      </c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</row>
    <row r="861">
      <c r="A861" s="22"/>
      <c r="B861" s="23"/>
      <c r="C861" s="24"/>
      <c r="D861" s="24"/>
      <c r="E861" s="18"/>
      <c r="F861" s="18"/>
      <c r="G861" s="25">
        <f t="shared" ref="G861:I861" si="718">G860</f>
        <v>2018</v>
      </c>
      <c r="H861" s="20" t="str">
        <f t="shared" si="718"/>
        <v>acdiea2018</v>
      </c>
      <c r="I861" s="20" t="str">
        <f t="shared" si="718"/>
        <v>A Ciência da Informação e a educação em gestão e curadoria de dados de pesquisa</v>
      </c>
      <c r="J861" s="20" t="str">
        <f t="shared" si="2"/>
        <v>Especialistas em dados de pesquisa</v>
      </c>
      <c r="K861" s="20"/>
      <c r="L861" s="20" t="str">
        <f t="shared" si="3"/>
        <v>especialistas em dados de pesquisa</v>
      </c>
      <c r="M861" s="18"/>
      <c r="N861" s="21" t="str">
        <f>IFERROR(__xludf.DUMMYFUNCTION("""COMPUTED_VALUE""")," Especialistas em dados de pesquisa")</f>
        <v> Especialistas em dados de pesquisa</v>
      </c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</row>
    <row r="862">
      <c r="A862" s="22"/>
      <c r="B862" s="23"/>
      <c r="C862" s="24"/>
      <c r="D862" s="24"/>
      <c r="E862" s="18"/>
      <c r="F862" s="18"/>
      <c r="G862" s="25">
        <f t="shared" ref="G862:I862" si="719">G861</f>
        <v>2018</v>
      </c>
      <c r="H862" s="20" t="str">
        <f t="shared" si="719"/>
        <v>acdiea2018</v>
      </c>
      <c r="I862" s="20" t="str">
        <f t="shared" si="719"/>
        <v>A Ciência da Informação e a educação em gestão e curadoria de dados de pesquisa</v>
      </c>
      <c r="J862" s="20" t="str">
        <f t="shared" si="2"/>
        <v>Competência em dados de pesquisa</v>
      </c>
      <c r="K862" s="20"/>
      <c r="L862" s="20" t="str">
        <f t="shared" si="3"/>
        <v>competência em dados de pesquisa</v>
      </c>
      <c r="M862" s="18"/>
      <c r="N862" s="21" t="str">
        <f>IFERROR(__xludf.DUMMYFUNCTION("""COMPUTED_VALUE""")," Competência em dados de pesquisa")</f>
        <v> Competência em dados de pesquisa</v>
      </c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</row>
    <row r="863">
      <c r="A863" s="22"/>
      <c r="B863" s="23"/>
      <c r="C863" s="24"/>
      <c r="D863" s="24"/>
      <c r="E863" s="18"/>
      <c r="F863" s="18"/>
      <c r="G863" s="25">
        <f t="shared" ref="G863:I863" si="720">G862</f>
        <v>2018</v>
      </c>
      <c r="H863" s="20" t="str">
        <f t="shared" si="720"/>
        <v>acdiea2018</v>
      </c>
      <c r="I863" s="20" t="str">
        <f t="shared" si="720"/>
        <v>A Ciência da Informação e a educação em gestão e curadoria de dados de pesquisa</v>
      </c>
      <c r="J863" s="20" t="str">
        <f t="shared" si="2"/>
        <v>Gestão de dados de pesquisa</v>
      </c>
      <c r="K863" s="20"/>
      <c r="L863" s="20" t="str">
        <f t="shared" si="3"/>
        <v>gestão de dados de pesquisa</v>
      </c>
      <c r="M863" s="18"/>
      <c r="N863" s="21" t="str">
        <f>IFERROR(__xludf.DUMMYFUNCTION("""COMPUTED_VALUE""")," Gestão de dados de pesquisa")</f>
        <v> Gestão de dados de pesquisa</v>
      </c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</row>
    <row r="864">
      <c r="A864" s="22"/>
      <c r="B864" s="23"/>
      <c r="C864" s="24"/>
      <c r="D864" s="24"/>
      <c r="E864" s="18"/>
      <c r="F864" s="18"/>
      <c r="G864" s="25">
        <f t="shared" ref="G864:I864" si="721">G863</f>
        <v>2018</v>
      </c>
      <c r="H864" s="20" t="str">
        <f t="shared" si="721"/>
        <v>acdiea2018</v>
      </c>
      <c r="I864" s="20" t="str">
        <f t="shared" si="721"/>
        <v>A Ciência da Informação e a educação em gestão e curadoria de dados de pesquisa</v>
      </c>
      <c r="J864" s="20" t="str">
        <f t="shared" si="2"/>
        <v>Curadoria digital</v>
      </c>
      <c r="K864" s="20"/>
      <c r="L864" s="20" t="str">
        <f t="shared" si="3"/>
        <v>curadoria digital</v>
      </c>
      <c r="M864" s="18"/>
      <c r="N864" s="21" t="str">
        <f>IFERROR(__xludf.DUMMYFUNCTION("""COMPUTED_VALUE""")," Curadoria digital")</f>
        <v> Curadoria digital</v>
      </c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</row>
    <row r="865">
      <c r="A865" s="8"/>
      <c r="B865" s="23"/>
      <c r="C865" s="24"/>
      <c r="D865" s="24"/>
      <c r="E865" s="18"/>
      <c r="F865" s="18"/>
      <c r="G865" s="25">
        <f t="shared" ref="G865:I865" si="722">G864</f>
        <v>2018</v>
      </c>
      <c r="H865" s="20" t="str">
        <f t="shared" si="722"/>
        <v>acdiea2018</v>
      </c>
      <c r="I865" s="20" t="str">
        <f t="shared" si="722"/>
        <v>A Ciência da Informação e a educação em gestão e curadoria de dados de pesquisa</v>
      </c>
      <c r="J865" s="20" t="str">
        <f t="shared" si="2"/>
        <v/>
      </c>
      <c r="K865" s="20"/>
      <c r="L865" s="20" t="str">
        <f t="shared" si="3"/>
        <v/>
      </c>
      <c r="M865" s="18"/>
      <c r="N865" s="21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</row>
    <row r="866">
      <c r="A866" s="8" t="s">
        <v>54</v>
      </c>
      <c r="B866" s="9">
        <v>2018.0</v>
      </c>
      <c r="C866" s="10" t="s">
        <v>349</v>
      </c>
      <c r="D866" s="10" t="s">
        <v>350</v>
      </c>
      <c r="E866" s="18"/>
      <c r="F866" s="18"/>
      <c r="G866" s="12">
        <f>B866</f>
        <v>2018</v>
      </c>
      <c r="H866" s="13" t="str">
        <f>LOWER(left(O866,1)&amp;left(P866,1)&amp;left(Q866,1)&amp;left(R866,1)&amp;left(S866,1)&amp;left(T866,1))&amp;G866</f>
        <v>pdcddc2018</v>
      </c>
      <c r="I866" s="20" t="str">
        <f>trim(C866)</f>
        <v>Política de compartilhamento de dados científicos: A adoção nos periódicos da Ciência da Informação</v>
      </c>
      <c r="J866" s="20" t="str">
        <f t="shared" si="2"/>
        <v>Política de compartilhamento de dados</v>
      </c>
      <c r="K866" s="20"/>
      <c r="L866" s="20" t="str">
        <f t="shared" si="3"/>
        <v>política de compartilhamento de dados</v>
      </c>
      <c r="M866" s="18"/>
      <c r="N866" s="21" t="str">
        <f>IFERROR(__xludf.DUMMYFUNCTION("TRANSPOSE(split(D866,"";"",true,true))"),"Política de compartilhamento de dados")</f>
        <v>Política de compartilhamento de dados</v>
      </c>
      <c r="O866" s="6" t="str">
        <f>IFERROR(__xludf.DUMMYFUNCTION("split(C866,"" "")"),"Política")</f>
        <v>Política</v>
      </c>
      <c r="P866" s="18" t="str">
        <f>IFERROR(__xludf.DUMMYFUNCTION("""COMPUTED_VALUE"""),"de")</f>
        <v>de</v>
      </c>
      <c r="Q866" s="18" t="str">
        <f>IFERROR(__xludf.DUMMYFUNCTION("""COMPUTED_VALUE"""),"compartilhamento")</f>
        <v>compartilhamento</v>
      </c>
      <c r="R866" s="18" t="str">
        <f>IFERROR(__xludf.DUMMYFUNCTION("""COMPUTED_VALUE"""),"de")</f>
        <v>de</v>
      </c>
      <c r="S866" s="18" t="str">
        <f>IFERROR(__xludf.DUMMYFUNCTION("""COMPUTED_VALUE"""),"dados")</f>
        <v>dados</v>
      </c>
      <c r="T866" s="18" t="str">
        <f>IFERROR(__xludf.DUMMYFUNCTION("""COMPUTED_VALUE"""),"científicos:")</f>
        <v>científicos:</v>
      </c>
      <c r="U866" s="18" t="str">
        <f>IFERROR(__xludf.DUMMYFUNCTION("""COMPUTED_VALUE"""),"A")</f>
        <v>A</v>
      </c>
      <c r="V866" s="18" t="str">
        <f>IFERROR(__xludf.DUMMYFUNCTION("""COMPUTED_VALUE"""),"adoção")</f>
        <v>adoção</v>
      </c>
      <c r="W866" s="18" t="str">
        <f>IFERROR(__xludf.DUMMYFUNCTION("""COMPUTED_VALUE"""),"nos")</f>
        <v>nos</v>
      </c>
      <c r="X866" s="18" t="str">
        <f>IFERROR(__xludf.DUMMYFUNCTION("""COMPUTED_VALUE"""),"periódicos")</f>
        <v>periódicos</v>
      </c>
      <c r="Y866" s="18" t="str">
        <f>IFERROR(__xludf.DUMMYFUNCTION("""COMPUTED_VALUE"""),"da")</f>
        <v>da</v>
      </c>
      <c r="Z866" s="18" t="str">
        <f>IFERROR(__xludf.DUMMYFUNCTION("""COMPUTED_VALUE"""),"Ciência")</f>
        <v>Ciência</v>
      </c>
      <c r="AA866" s="18" t="str">
        <f>IFERROR(__xludf.DUMMYFUNCTION("""COMPUTED_VALUE"""),"da")</f>
        <v>da</v>
      </c>
      <c r="AB866" s="18" t="str">
        <f>IFERROR(__xludf.DUMMYFUNCTION("""COMPUTED_VALUE"""),"Informação")</f>
        <v>Informação</v>
      </c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</row>
    <row r="867">
      <c r="A867" s="22"/>
      <c r="B867" s="23"/>
      <c r="C867" s="24"/>
      <c r="D867" s="24"/>
      <c r="E867" s="18"/>
      <c r="F867" s="18"/>
      <c r="G867" s="25">
        <f t="shared" ref="G867:I867" si="723">G866</f>
        <v>2018</v>
      </c>
      <c r="H867" s="20" t="str">
        <f t="shared" si="723"/>
        <v>pdcddc2018</v>
      </c>
      <c r="I867" s="20" t="str">
        <f t="shared" si="723"/>
        <v>Política de compartilhamento de dados científicos: A adoção nos periódicos da Ciência da Informação</v>
      </c>
      <c r="J867" s="20" t="str">
        <f t="shared" si="2"/>
        <v>Periódicos</v>
      </c>
      <c r="K867" s="20"/>
      <c r="L867" s="20" t="str">
        <f t="shared" si="3"/>
        <v>periódicos</v>
      </c>
      <c r="M867" s="18"/>
      <c r="N867" s="21" t="str">
        <f>IFERROR(__xludf.DUMMYFUNCTION("""COMPUTED_VALUE""")," Periódicos")</f>
        <v> Periódicos</v>
      </c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</row>
    <row r="868">
      <c r="A868" s="22"/>
      <c r="B868" s="23"/>
      <c r="C868" s="24"/>
      <c r="D868" s="24"/>
      <c r="E868" s="18"/>
      <c r="F868" s="18"/>
      <c r="G868" s="25">
        <f t="shared" ref="G868:I868" si="724">G867</f>
        <v>2018</v>
      </c>
      <c r="H868" s="20" t="str">
        <f t="shared" si="724"/>
        <v>pdcddc2018</v>
      </c>
      <c r="I868" s="20" t="str">
        <f t="shared" si="724"/>
        <v>Política de compartilhamento de dados científicos: A adoção nos periódicos da Ciência da Informação</v>
      </c>
      <c r="J868" s="20" t="str">
        <f t="shared" si="2"/>
        <v>Ciência da informação</v>
      </c>
      <c r="K868" s="20"/>
      <c r="L868" s="20" t="str">
        <f t="shared" si="3"/>
        <v>ciência da informação</v>
      </c>
      <c r="M868" s="18"/>
      <c r="N868" s="21" t="str">
        <f>IFERROR(__xludf.DUMMYFUNCTION("""COMPUTED_VALUE""")," Ciência da informação")</f>
        <v> Ciência da informação</v>
      </c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</row>
    <row r="869">
      <c r="A869" s="22"/>
      <c r="B869" s="23"/>
      <c r="C869" s="24"/>
      <c r="D869" s="24"/>
      <c r="E869" s="18"/>
      <c r="F869" s="18"/>
      <c r="G869" s="25">
        <f t="shared" ref="G869:I869" si="725">G868</f>
        <v>2018</v>
      </c>
      <c r="H869" s="20" t="str">
        <f t="shared" si="725"/>
        <v>pdcddc2018</v>
      </c>
      <c r="I869" s="20" t="str">
        <f t="shared" si="725"/>
        <v>Política de compartilhamento de dados científicos: A adoção nos periódicos da Ciência da Informação</v>
      </c>
      <c r="J869" s="20" t="str">
        <f t="shared" si="2"/>
        <v/>
      </c>
      <c r="K869" s="20"/>
      <c r="L869" s="20" t="str">
        <f t="shared" si="3"/>
        <v/>
      </c>
      <c r="M869" s="18"/>
      <c r="N869" s="21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</row>
    <row r="870">
      <c r="A870" s="22"/>
      <c r="B870" s="23"/>
      <c r="C870" s="24"/>
      <c r="D870" s="24"/>
      <c r="E870" s="18"/>
      <c r="F870" s="18"/>
      <c r="G870" s="25">
        <f t="shared" ref="G870:I870" si="726">G869</f>
        <v>2018</v>
      </c>
      <c r="H870" s="20" t="str">
        <f t="shared" si="726"/>
        <v>pdcddc2018</v>
      </c>
      <c r="I870" s="20" t="str">
        <f t="shared" si="726"/>
        <v>Política de compartilhamento de dados científicos: A adoção nos periódicos da Ciência da Informação</v>
      </c>
      <c r="J870" s="20" t="str">
        <f t="shared" si="2"/>
        <v/>
      </c>
      <c r="K870" s="20"/>
      <c r="L870" s="20" t="str">
        <f t="shared" si="3"/>
        <v/>
      </c>
      <c r="M870" s="18"/>
      <c r="N870" s="21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</row>
    <row r="871">
      <c r="A871" s="8"/>
      <c r="B871" s="23"/>
      <c r="C871" s="24"/>
      <c r="D871" s="24"/>
      <c r="E871" s="18"/>
      <c r="F871" s="18"/>
      <c r="G871" s="25">
        <f t="shared" ref="G871:I871" si="727">G870</f>
        <v>2018</v>
      </c>
      <c r="H871" s="20" t="str">
        <f t="shared" si="727"/>
        <v>pdcddc2018</v>
      </c>
      <c r="I871" s="20" t="str">
        <f t="shared" si="727"/>
        <v>Política de compartilhamento de dados científicos: A adoção nos periódicos da Ciência da Informação</v>
      </c>
      <c r="J871" s="20" t="str">
        <f t="shared" si="2"/>
        <v/>
      </c>
      <c r="K871" s="20"/>
      <c r="L871" s="20" t="str">
        <f t="shared" si="3"/>
        <v/>
      </c>
      <c r="M871" s="18"/>
      <c r="N871" s="21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</row>
    <row r="872">
      <c r="A872" s="8" t="s">
        <v>54</v>
      </c>
      <c r="B872" s="9">
        <v>2018.0</v>
      </c>
      <c r="C872" s="10" t="s">
        <v>351</v>
      </c>
      <c r="D872" s="10" t="s">
        <v>352</v>
      </c>
      <c r="E872" s="18"/>
      <c r="F872" s="18"/>
      <c r="G872" s="12">
        <f>B872</f>
        <v>2018</v>
      </c>
      <c r="H872" s="13" t="str">
        <f>LOWER(left(O872,1)&amp;left(P872,1)&amp;left(Q872,1)&amp;left(R872,1)&amp;left(S872,1)&amp;left(T872,1))&amp;G872</f>
        <v>mmpaop2018</v>
      </c>
      <c r="I872" s="20" t="str">
        <f>trim(C872)</f>
        <v>Métodos multicritérios para auxiliar o processo de tomada de decisão sobre empreendimentos imobiliários utilizando modelos BIM</v>
      </c>
      <c r="J872" s="20" t="str">
        <f t="shared" si="2"/>
        <v>Métodos Multicritérios</v>
      </c>
      <c r="K872" s="20"/>
      <c r="L872" s="20" t="str">
        <f t="shared" si="3"/>
        <v>métodos multicritérios</v>
      </c>
      <c r="M872" s="18"/>
      <c r="N872" s="21" t="str">
        <f>IFERROR(__xludf.DUMMYFUNCTION("TRANSPOSE(split(D872,"";"",true,true))"),"Métodos Multicritérios")</f>
        <v>Métodos Multicritérios</v>
      </c>
      <c r="O872" s="6" t="str">
        <f>IFERROR(__xludf.DUMMYFUNCTION("split(C872,"" "")"),"Métodos")</f>
        <v>Métodos</v>
      </c>
      <c r="P872" s="18" t="str">
        <f>IFERROR(__xludf.DUMMYFUNCTION("""COMPUTED_VALUE"""),"multicritérios")</f>
        <v>multicritérios</v>
      </c>
      <c r="Q872" s="18" t="str">
        <f>IFERROR(__xludf.DUMMYFUNCTION("""COMPUTED_VALUE"""),"para")</f>
        <v>para</v>
      </c>
      <c r="R872" s="18" t="str">
        <f>IFERROR(__xludf.DUMMYFUNCTION("""COMPUTED_VALUE"""),"auxiliar")</f>
        <v>auxiliar</v>
      </c>
      <c r="S872" s="18" t="str">
        <f>IFERROR(__xludf.DUMMYFUNCTION("""COMPUTED_VALUE"""),"o")</f>
        <v>o</v>
      </c>
      <c r="T872" s="18" t="str">
        <f>IFERROR(__xludf.DUMMYFUNCTION("""COMPUTED_VALUE"""),"processo")</f>
        <v>processo</v>
      </c>
      <c r="U872" s="18" t="str">
        <f>IFERROR(__xludf.DUMMYFUNCTION("""COMPUTED_VALUE"""),"de")</f>
        <v>de</v>
      </c>
      <c r="V872" s="18" t="str">
        <f>IFERROR(__xludf.DUMMYFUNCTION("""COMPUTED_VALUE"""),"tomada")</f>
        <v>tomada</v>
      </c>
      <c r="W872" s="18" t="str">
        <f>IFERROR(__xludf.DUMMYFUNCTION("""COMPUTED_VALUE"""),"de")</f>
        <v>de</v>
      </c>
      <c r="X872" s="18" t="str">
        <f>IFERROR(__xludf.DUMMYFUNCTION("""COMPUTED_VALUE"""),"decisão")</f>
        <v>decisão</v>
      </c>
      <c r="Y872" s="18" t="str">
        <f>IFERROR(__xludf.DUMMYFUNCTION("""COMPUTED_VALUE"""),"sobre")</f>
        <v>sobre</v>
      </c>
      <c r="Z872" s="18" t="str">
        <f>IFERROR(__xludf.DUMMYFUNCTION("""COMPUTED_VALUE"""),"empreendimentos")</f>
        <v>empreendimentos</v>
      </c>
      <c r="AA872" s="18" t="str">
        <f>IFERROR(__xludf.DUMMYFUNCTION("""COMPUTED_VALUE"""),"imobiliários")</f>
        <v>imobiliários</v>
      </c>
      <c r="AB872" s="18" t="str">
        <f>IFERROR(__xludf.DUMMYFUNCTION("""COMPUTED_VALUE"""),"utilizando")</f>
        <v>utilizando</v>
      </c>
      <c r="AC872" s="18" t="str">
        <f>IFERROR(__xludf.DUMMYFUNCTION("""COMPUTED_VALUE"""),"modelos")</f>
        <v>modelos</v>
      </c>
      <c r="AD872" s="18" t="str">
        <f>IFERROR(__xludf.DUMMYFUNCTION("""COMPUTED_VALUE"""),"BIM")</f>
        <v>BIM</v>
      </c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</row>
    <row r="873">
      <c r="A873" s="22"/>
      <c r="B873" s="23"/>
      <c r="C873" s="24"/>
      <c r="D873" s="24"/>
      <c r="E873" s="18"/>
      <c r="F873" s="18"/>
      <c r="G873" s="25">
        <f t="shared" ref="G873:I873" si="728">G872</f>
        <v>2018</v>
      </c>
      <c r="H873" s="20" t="str">
        <f t="shared" si="728"/>
        <v>mmpaop2018</v>
      </c>
      <c r="I873" s="20" t="str">
        <f t="shared" si="728"/>
        <v>Métodos multicritérios para auxiliar o processo de tomada de decisão sobre empreendimentos imobiliários utilizando modelos BIM</v>
      </c>
      <c r="J873" s="20" t="str">
        <f t="shared" si="2"/>
        <v>Analytic Hierarchy Process (AHP)</v>
      </c>
      <c r="K873" s="20"/>
      <c r="L873" s="20" t="str">
        <f t="shared" si="3"/>
        <v>analytic hierarchy process (ahp)</v>
      </c>
      <c r="M873" s="18"/>
      <c r="N873" s="21" t="str">
        <f>IFERROR(__xludf.DUMMYFUNCTION("""COMPUTED_VALUE""")," Analytic Hierarchy Process (AHP)")</f>
        <v> Analytic Hierarchy Process (AHP)</v>
      </c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</row>
    <row r="874">
      <c r="A874" s="22"/>
      <c r="B874" s="23"/>
      <c r="C874" s="24"/>
      <c r="D874" s="24"/>
      <c r="E874" s="18"/>
      <c r="F874" s="18"/>
      <c r="G874" s="25">
        <f t="shared" ref="G874:I874" si="729">G873</f>
        <v>2018</v>
      </c>
      <c r="H874" s="20" t="str">
        <f t="shared" si="729"/>
        <v>mmpaop2018</v>
      </c>
      <c r="I874" s="20" t="str">
        <f t="shared" si="729"/>
        <v>Métodos multicritérios para auxiliar o processo de tomada de decisão sobre empreendimentos imobiliários utilizando modelos BIM</v>
      </c>
      <c r="J874" s="20" t="str">
        <f t="shared" si="2"/>
        <v>Modelagem de Informações da Construção</v>
      </c>
      <c r="K874" s="20"/>
      <c r="L874" s="20" t="str">
        <f t="shared" si="3"/>
        <v>modelagem de informações da construção</v>
      </c>
      <c r="M874" s="18"/>
      <c r="N874" s="21" t="str">
        <f>IFERROR(__xludf.DUMMYFUNCTION("""COMPUTED_VALUE""")," Modelagem de Informações da Construção")</f>
        <v> Modelagem de Informações da Construção</v>
      </c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</row>
    <row r="875">
      <c r="A875" s="22"/>
      <c r="B875" s="23"/>
      <c r="C875" s="24"/>
      <c r="D875" s="24"/>
      <c r="E875" s="18"/>
      <c r="F875" s="18"/>
      <c r="G875" s="25">
        <f t="shared" ref="G875:I875" si="730">G874</f>
        <v>2018</v>
      </c>
      <c r="H875" s="20" t="str">
        <f t="shared" si="730"/>
        <v>mmpaop2018</v>
      </c>
      <c r="I875" s="20" t="str">
        <f t="shared" si="730"/>
        <v>Métodos multicritérios para auxiliar o processo de tomada de decisão sobre empreendimentos imobiliários utilizando modelos BIM</v>
      </c>
      <c r="J875" s="20" t="str">
        <f t="shared" si="2"/>
        <v>Building Information Modeling (BIM)</v>
      </c>
      <c r="K875" s="20"/>
      <c r="L875" s="20" t="str">
        <f t="shared" si="3"/>
        <v>building information modeling (bim)</v>
      </c>
      <c r="M875" s="18"/>
      <c r="N875" s="21" t="str">
        <f>IFERROR(__xludf.DUMMYFUNCTION("""COMPUTED_VALUE""")," Building Information Modeling (BIM)")</f>
        <v> Building Information Modeling (BIM)</v>
      </c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</row>
    <row r="876">
      <c r="A876" s="22"/>
      <c r="B876" s="23"/>
      <c r="C876" s="24"/>
      <c r="D876" s="24"/>
      <c r="E876" s="18"/>
      <c r="F876" s="18"/>
      <c r="G876" s="25">
        <f t="shared" ref="G876:I876" si="731">G875</f>
        <v>2018</v>
      </c>
      <c r="H876" s="20" t="str">
        <f t="shared" si="731"/>
        <v>mmpaop2018</v>
      </c>
      <c r="I876" s="20" t="str">
        <f t="shared" si="731"/>
        <v>Métodos multicritérios para auxiliar o processo de tomada de decisão sobre empreendimentos imobiliários utilizando modelos BIM</v>
      </c>
      <c r="J876" s="20" t="str">
        <f t="shared" si="2"/>
        <v/>
      </c>
      <c r="K876" s="20"/>
      <c r="L876" s="20" t="str">
        <f t="shared" si="3"/>
        <v/>
      </c>
      <c r="M876" s="18"/>
      <c r="N876" s="21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</row>
    <row r="877">
      <c r="A877" s="8"/>
      <c r="B877" s="23"/>
      <c r="C877" s="24"/>
      <c r="D877" s="24"/>
      <c r="E877" s="18"/>
      <c r="F877" s="18"/>
      <c r="G877" s="25">
        <f t="shared" ref="G877:I877" si="732">G876</f>
        <v>2018</v>
      </c>
      <c r="H877" s="20" t="str">
        <f t="shared" si="732"/>
        <v>mmpaop2018</v>
      </c>
      <c r="I877" s="20" t="str">
        <f t="shared" si="732"/>
        <v>Métodos multicritérios para auxiliar o processo de tomada de decisão sobre empreendimentos imobiliários utilizando modelos BIM</v>
      </c>
      <c r="J877" s="20" t="str">
        <f t="shared" si="2"/>
        <v/>
      </c>
      <c r="K877" s="20"/>
      <c r="L877" s="20" t="str">
        <f t="shared" si="3"/>
        <v/>
      </c>
      <c r="M877" s="18"/>
      <c r="N877" s="21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</row>
    <row r="878">
      <c r="A878" s="8" t="s">
        <v>54</v>
      </c>
      <c r="B878" s="9">
        <v>2018.0</v>
      </c>
      <c r="C878" s="10" t="s">
        <v>353</v>
      </c>
      <c r="D878" s="10" t="s">
        <v>354</v>
      </c>
      <c r="E878" s="18"/>
      <c r="F878" s="18"/>
      <c r="G878" s="12">
        <f>B878</f>
        <v>2018</v>
      </c>
      <c r="H878" s="13" t="str">
        <f>LOWER(left(O878,1)&amp;left(P878,1)&amp;left(Q878,1)&amp;left(R878,1)&amp;left(S878,1)&amp;left(T878,1))&amp;G878</f>
        <v>wsdrpd2018</v>
      </c>
      <c r="I878" s="20" t="str">
        <f>trim(C878)</f>
        <v>Web Scraping do ResearchID: proposta de sistema para o monitoramento de Índice H de pesquisadores no Brasil</v>
      </c>
      <c r="J878" s="20" t="str">
        <f t="shared" si="2"/>
        <v>Dados de Citação</v>
      </c>
      <c r="K878" s="20"/>
      <c r="L878" s="20" t="str">
        <f t="shared" si="3"/>
        <v>dados de citação</v>
      </c>
      <c r="M878" s="18"/>
      <c r="N878" s="21" t="str">
        <f>IFERROR(__xludf.DUMMYFUNCTION("TRANSPOSE(split(D878,"";"",true,true))"),"Dados de Citação")</f>
        <v>Dados de Citação</v>
      </c>
      <c r="O878" s="6" t="str">
        <f>IFERROR(__xludf.DUMMYFUNCTION("split(C878,"" "")"),"Web")</f>
        <v>Web</v>
      </c>
      <c r="P878" s="18" t="str">
        <f>IFERROR(__xludf.DUMMYFUNCTION("""COMPUTED_VALUE"""),"Scraping")</f>
        <v>Scraping</v>
      </c>
      <c r="Q878" s="18" t="str">
        <f>IFERROR(__xludf.DUMMYFUNCTION("""COMPUTED_VALUE"""),"do")</f>
        <v>do</v>
      </c>
      <c r="R878" s="18" t="str">
        <f>IFERROR(__xludf.DUMMYFUNCTION("""COMPUTED_VALUE"""),"ResearchID:")</f>
        <v>ResearchID:</v>
      </c>
      <c r="S878" s="18" t="str">
        <f>IFERROR(__xludf.DUMMYFUNCTION("""COMPUTED_VALUE"""),"proposta")</f>
        <v>proposta</v>
      </c>
      <c r="T878" s="18" t="str">
        <f>IFERROR(__xludf.DUMMYFUNCTION("""COMPUTED_VALUE"""),"de")</f>
        <v>de</v>
      </c>
      <c r="U878" s="18" t="str">
        <f>IFERROR(__xludf.DUMMYFUNCTION("""COMPUTED_VALUE"""),"sistema")</f>
        <v>sistema</v>
      </c>
      <c r="V878" s="18" t="str">
        <f>IFERROR(__xludf.DUMMYFUNCTION("""COMPUTED_VALUE"""),"para")</f>
        <v>para</v>
      </c>
      <c r="W878" s="18" t="str">
        <f>IFERROR(__xludf.DUMMYFUNCTION("""COMPUTED_VALUE"""),"o")</f>
        <v>o</v>
      </c>
      <c r="X878" s="18" t="str">
        <f>IFERROR(__xludf.DUMMYFUNCTION("""COMPUTED_VALUE"""),"monitoramento")</f>
        <v>monitoramento</v>
      </c>
      <c r="Y878" s="18" t="str">
        <f>IFERROR(__xludf.DUMMYFUNCTION("""COMPUTED_VALUE"""),"de")</f>
        <v>de</v>
      </c>
      <c r="Z878" s="18" t="str">
        <f>IFERROR(__xludf.DUMMYFUNCTION("""COMPUTED_VALUE"""),"Índice")</f>
        <v>Índice</v>
      </c>
      <c r="AA878" s="18" t="str">
        <f>IFERROR(__xludf.DUMMYFUNCTION("""COMPUTED_VALUE"""),"H")</f>
        <v>H</v>
      </c>
      <c r="AB878" s="18" t="str">
        <f>IFERROR(__xludf.DUMMYFUNCTION("""COMPUTED_VALUE"""),"de")</f>
        <v>de</v>
      </c>
      <c r="AC878" s="18" t="str">
        <f>IFERROR(__xludf.DUMMYFUNCTION("""COMPUTED_VALUE"""),"pesquisadores")</f>
        <v>pesquisadores</v>
      </c>
      <c r="AD878" s="18" t="str">
        <f>IFERROR(__xludf.DUMMYFUNCTION("""COMPUTED_VALUE"""),"no")</f>
        <v>no</v>
      </c>
      <c r="AE878" s="18" t="str">
        <f>IFERROR(__xludf.DUMMYFUNCTION("""COMPUTED_VALUE"""),"Brasil")</f>
        <v>Brasil</v>
      </c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</row>
    <row r="879">
      <c r="A879" s="22"/>
      <c r="B879" s="23"/>
      <c r="C879" s="24"/>
      <c r="D879" s="24"/>
      <c r="E879" s="18"/>
      <c r="F879" s="18"/>
      <c r="G879" s="25">
        <f t="shared" ref="G879:I879" si="733">G878</f>
        <v>2018</v>
      </c>
      <c r="H879" s="20" t="str">
        <f t="shared" si="733"/>
        <v>wsdrpd2018</v>
      </c>
      <c r="I879" s="20" t="str">
        <f t="shared" si="733"/>
        <v>Web Scraping do ResearchID: proposta de sistema para o monitoramento de Índice H de pesquisadores no Brasil</v>
      </c>
      <c r="J879" s="20" t="str">
        <f t="shared" si="2"/>
        <v>ResearcherID</v>
      </c>
      <c r="K879" s="20"/>
      <c r="L879" s="20" t="str">
        <f t="shared" si="3"/>
        <v>researcherid</v>
      </c>
      <c r="M879" s="18"/>
      <c r="N879" s="21" t="str">
        <f>IFERROR(__xludf.DUMMYFUNCTION("""COMPUTED_VALUE""")," ResearcherID")</f>
        <v> ResearcherID</v>
      </c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</row>
    <row r="880">
      <c r="A880" s="22"/>
      <c r="B880" s="23"/>
      <c r="C880" s="24"/>
      <c r="D880" s="24"/>
      <c r="E880" s="18"/>
      <c r="F880" s="18"/>
      <c r="G880" s="25">
        <f t="shared" ref="G880:I880" si="734">G879</f>
        <v>2018</v>
      </c>
      <c r="H880" s="20" t="str">
        <f t="shared" si="734"/>
        <v>wsdrpd2018</v>
      </c>
      <c r="I880" s="20" t="str">
        <f t="shared" si="734"/>
        <v>Web Scraping do ResearchID: proposta de sistema para o monitoramento de Índice H de pesquisadores no Brasil</v>
      </c>
      <c r="J880" s="20" t="str">
        <f t="shared" si="2"/>
        <v>Índice H</v>
      </c>
      <c r="K880" s="20"/>
      <c r="L880" s="20" t="str">
        <f t="shared" si="3"/>
        <v>índice h</v>
      </c>
      <c r="M880" s="18"/>
      <c r="N880" s="21" t="str">
        <f>IFERROR(__xludf.DUMMYFUNCTION("""COMPUTED_VALUE""")," Índice H")</f>
        <v> Índice H</v>
      </c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</row>
    <row r="881">
      <c r="A881" s="22"/>
      <c r="B881" s="23"/>
      <c r="C881" s="24"/>
      <c r="D881" s="24"/>
      <c r="E881" s="18"/>
      <c r="F881" s="18"/>
      <c r="G881" s="25">
        <f t="shared" ref="G881:I881" si="735">G880</f>
        <v>2018</v>
      </c>
      <c r="H881" s="20" t="str">
        <f t="shared" si="735"/>
        <v>wsdrpd2018</v>
      </c>
      <c r="I881" s="20" t="str">
        <f t="shared" si="735"/>
        <v>Web Scraping do ResearchID: proposta de sistema para o monitoramento de Índice H de pesquisadores no Brasil</v>
      </c>
      <c r="J881" s="20" t="str">
        <f t="shared" si="2"/>
        <v>Web Scraping</v>
      </c>
      <c r="K881" s="20"/>
      <c r="L881" s="20" t="str">
        <f t="shared" si="3"/>
        <v>web scraping</v>
      </c>
      <c r="M881" s="18"/>
      <c r="N881" s="21" t="str">
        <f>IFERROR(__xludf.DUMMYFUNCTION("""COMPUTED_VALUE""")," Web Scraping")</f>
        <v> Web Scraping</v>
      </c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</row>
    <row r="882">
      <c r="A882" s="22"/>
      <c r="B882" s="23"/>
      <c r="C882" s="24"/>
      <c r="D882" s="24"/>
      <c r="E882" s="18"/>
      <c r="F882" s="18"/>
      <c r="G882" s="25">
        <f t="shared" ref="G882:I882" si="736">G881</f>
        <v>2018</v>
      </c>
      <c r="H882" s="20" t="str">
        <f t="shared" si="736"/>
        <v>wsdrpd2018</v>
      </c>
      <c r="I882" s="20" t="str">
        <f t="shared" si="736"/>
        <v>Web Scraping do ResearchID: proposta de sistema para o monitoramento de Índice H de pesquisadores no Brasil</v>
      </c>
      <c r="J882" s="20" t="str">
        <f t="shared" si="2"/>
        <v/>
      </c>
      <c r="K882" s="20"/>
      <c r="L882" s="20" t="str">
        <f t="shared" si="3"/>
        <v/>
      </c>
      <c r="M882" s="18"/>
      <c r="N882" s="21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</row>
    <row r="883">
      <c r="A883" s="8"/>
      <c r="B883" s="23"/>
      <c r="C883" s="24"/>
      <c r="D883" s="24"/>
      <c r="E883" s="18"/>
      <c r="F883" s="18"/>
      <c r="G883" s="25">
        <f t="shared" ref="G883:I883" si="737">G882</f>
        <v>2018</v>
      </c>
      <c r="H883" s="20" t="str">
        <f t="shared" si="737"/>
        <v>wsdrpd2018</v>
      </c>
      <c r="I883" s="20" t="str">
        <f t="shared" si="737"/>
        <v>Web Scraping do ResearchID: proposta de sistema para o monitoramento de Índice H de pesquisadores no Brasil</v>
      </c>
      <c r="J883" s="20" t="str">
        <f t="shared" si="2"/>
        <v/>
      </c>
      <c r="K883" s="20"/>
      <c r="L883" s="20" t="str">
        <f t="shared" si="3"/>
        <v/>
      </c>
      <c r="M883" s="18"/>
      <c r="N883" s="21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</row>
    <row r="884">
      <c r="A884" s="8" t="s">
        <v>54</v>
      </c>
      <c r="B884" s="9">
        <v>2018.0</v>
      </c>
      <c r="C884" s="10" t="s">
        <v>355</v>
      </c>
      <c r="D884" s="10" t="s">
        <v>356</v>
      </c>
      <c r="E884" s="18"/>
      <c r="F884" s="18"/>
      <c r="G884" s="12">
        <f>B884</f>
        <v>2018</v>
      </c>
      <c r="H884" s="13" t="str">
        <f>LOWER(left(O884,1)&amp;left(P884,1)&amp;left(Q884,1)&amp;left(R884,1)&amp;left(S884,1)&amp;left(T884,1))&amp;G884</f>
        <v>addiaa2018</v>
      </c>
      <c r="I884" s="20" t="str">
        <f>trim(C884)</f>
        <v>A disseminação de informações associadas a epidemia do Zika Vírus: Uma pesquisa a partir de dados coletados no Twitter</v>
      </c>
      <c r="J884" s="20" t="str">
        <f t="shared" si="2"/>
        <v>Twitter</v>
      </c>
      <c r="K884" s="20"/>
      <c r="L884" s="20" t="str">
        <f t="shared" si="3"/>
        <v>twitter</v>
      </c>
      <c r="M884" s="18"/>
      <c r="N884" s="21" t="str">
        <f>IFERROR(__xludf.DUMMYFUNCTION("TRANSPOSE(split(D884,"";"",true,true))"),"Twitter")</f>
        <v>Twitter</v>
      </c>
      <c r="O884" s="6" t="str">
        <f>IFERROR(__xludf.DUMMYFUNCTION("split(C884,"" "")"),"A")</f>
        <v>A</v>
      </c>
      <c r="P884" s="18" t="str">
        <f>IFERROR(__xludf.DUMMYFUNCTION("""COMPUTED_VALUE"""),"disseminação")</f>
        <v>disseminação</v>
      </c>
      <c r="Q884" s="18" t="str">
        <f>IFERROR(__xludf.DUMMYFUNCTION("""COMPUTED_VALUE"""),"de")</f>
        <v>de</v>
      </c>
      <c r="R884" s="18" t="str">
        <f>IFERROR(__xludf.DUMMYFUNCTION("""COMPUTED_VALUE"""),"informações")</f>
        <v>informações</v>
      </c>
      <c r="S884" s="18" t="str">
        <f>IFERROR(__xludf.DUMMYFUNCTION("""COMPUTED_VALUE"""),"associadas")</f>
        <v>associadas</v>
      </c>
      <c r="T884" s="18" t="str">
        <f>IFERROR(__xludf.DUMMYFUNCTION("""COMPUTED_VALUE"""),"a")</f>
        <v>a</v>
      </c>
      <c r="U884" s="18" t="str">
        <f>IFERROR(__xludf.DUMMYFUNCTION("""COMPUTED_VALUE"""),"epidemia")</f>
        <v>epidemia</v>
      </c>
      <c r="V884" s="18" t="str">
        <f>IFERROR(__xludf.DUMMYFUNCTION("""COMPUTED_VALUE"""),"do")</f>
        <v>do</v>
      </c>
      <c r="W884" s="18" t="str">
        <f>IFERROR(__xludf.DUMMYFUNCTION("""COMPUTED_VALUE"""),"Zika")</f>
        <v>Zika</v>
      </c>
      <c r="X884" s="18" t="str">
        <f>IFERROR(__xludf.DUMMYFUNCTION("""COMPUTED_VALUE"""),"Vírus:")</f>
        <v>Vírus:</v>
      </c>
      <c r="Y884" s="18" t="str">
        <f>IFERROR(__xludf.DUMMYFUNCTION("""COMPUTED_VALUE"""),"Uma")</f>
        <v>Uma</v>
      </c>
      <c r="Z884" s="18" t="str">
        <f>IFERROR(__xludf.DUMMYFUNCTION("""COMPUTED_VALUE"""),"pesquisa")</f>
        <v>pesquisa</v>
      </c>
      <c r="AA884" s="18" t="str">
        <f>IFERROR(__xludf.DUMMYFUNCTION("""COMPUTED_VALUE"""),"a")</f>
        <v>a</v>
      </c>
      <c r="AB884" s="18" t="str">
        <f>IFERROR(__xludf.DUMMYFUNCTION("""COMPUTED_VALUE"""),"partir")</f>
        <v>partir</v>
      </c>
      <c r="AC884" s="18" t="str">
        <f>IFERROR(__xludf.DUMMYFUNCTION("""COMPUTED_VALUE"""),"de")</f>
        <v>de</v>
      </c>
      <c r="AD884" s="18" t="str">
        <f>IFERROR(__xludf.DUMMYFUNCTION("""COMPUTED_VALUE"""),"dados")</f>
        <v>dados</v>
      </c>
      <c r="AE884" s="18" t="str">
        <f>IFERROR(__xludf.DUMMYFUNCTION("""COMPUTED_VALUE"""),"coletados")</f>
        <v>coletados</v>
      </c>
      <c r="AF884" s="18" t="str">
        <f>IFERROR(__xludf.DUMMYFUNCTION("""COMPUTED_VALUE"""),"no")</f>
        <v>no</v>
      </c>
      <c r="AG884" s="18" t="str">
        <f>IFERROR(__xludf.DUMMYFUNCTION("""COMPUTED_VALUE"""),"Twitter")</f>
        <v>Twitter</v>
      </c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</row>
    <row r="885">
      <c r="A885" s="22"/>
      <c r="B885" s="23"/>
      <c r="C885" s="24"/>
      <c r="D885" s="24"/>
      <c r="E885" s="18"/>
      <c r="F885" s="18"/>
      <c r="G885" s="25">
        <f t="shared" ref="G885:I885" si="738">G884</f>
        <v>2018</v>
      </c>
      <c r="H885" s="20" t="str">
        <f t="shared" si="738"/>
        <v>addiaa2018</v>
      </c>
      <c r="I885" s="20" t="str">
        <f t="shared" si="738"/>
        <v>A disseminação de informações associadas a epidemia do Zika Vírus: Uma pesquisa a partir de dados coletados no Twitter</v>
      </c>
      <c r="J885" s="20" t="str">
        <f t="shared" si="2"/>
        <v>Disseminação de dados</v>
      </c>
      <c r="K885" s="20"/>
      <c r="L885" s="20" t="str">
        <f t="shared" si="3"/>
        <v>disseminação de dados</v>
      </c>
      <c r="M885" s="18"/>
      <c r="N885" s="21" t="str">
        <f>IFERROR(__xludf.DUMMYFUNCTION("""COMPUTED_VALUE""")," Disseminação de dados")</f>
        <v> Disseminação de dados</v>
      </c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</row>
    <row r="886">
      <c r="A886" s="22"/>
      <c r="B886" s="23"/>
      <c r="C886" s="24"/>
      <c r="D886" s="24"/>
      <c r="E886" s="18"/>
      <c r="F886" s="18"/>
      <c r="G886" s="25">
        <f t="shared" ref="G886:I886" si="739">G885</f>
        <v>2018</v>
      </c>
      <c r="H886" s="20" t="str">
        <f t="shared" si="739"/>
        <v>addiaa2018</v>
      </c>
      <c r="I886" s="20" t="str">
        <f t="shared" si="739"/>
        <v>A disseminação de informações associadas a epidemia do Zika Vírus: Uma pesquisa a partir de dados coletados no Twitter</v>
      </c>
      <c r="J886" s="20" t="str">
        <f t="shared" si="2"/>
        <v>Zika vírus</v>
      </c>
      <c r="K886" s="20"/>
      <c r="L886" s="20" t="str">
        <f t="shared" si="3"/>
        <v>zika vírus</v>
      </c>
      <c r="M886" s="18"/>
      <c r="N886" s="21" t="str">
        <f>IFERROR(__xludf.DUMMYFUNCTION("""COMPUTED_VALUE""")," Zika vírus")</f>
        <v> Zika vírus</v>
      </c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</row>
    <row r="887">
      <c r="A887" s="22"/>
      <c r="B887" s="23"/>
      <c r="C887" s="24"/>
      <c r="D887" s="24"/>
      <c r="E887" s="18"/>
      <c r="F887" s="18"/>
      <c r="G887" s="25">
        <f t="shared" ref="G887:I887" si="740">G886</f>
        <v>2018</v>
      </c>
      <c r="H887" s="20" t="str">
        <f t="shared" si="740"/>
        <v>addiaa2018</v>
      </c>
      <c r="I887" s="20" t="str">
        <f t="shared" si="740"/>
        <v>A disseminação de informações associadas a epidemia do Zika Vírus: Uma pesquisa a partir de dados coletados no Twitter</v>
      </c>
      <c r="J887" s="20" t="str">
        <f t="shared" si="2"/>
        <v/>
      </c>
      <c r="K887" s="20"/>
      <c r="L887" s="20" t="str">
        <f t="shared" si="3"/>
        <v/>
      </c>
      <c r="M887" s="18"/>
      <c r="N887" s="21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</row>
    <row r="888">
      <c r="A888" s="22"/>
      <c r="B888" s="23"/>
      <c r="C888" s="24"/>
      <c r="D888" s="24"/>
      <c r="E888" s="18"/>
      <c r="F888" s="18"/>
      <c r="G888" s="25">
        <f t="shared" ref="G888:I888" si="741">G887</f>
        <v>2018</v>
      </c>
      <c r="H888" s="20" t="str">
        <f t="shared" si="741"/>
        <v>addiaa2018</v>
      </c>
      <c r="I888" s="20" t="str">
        <f t="shared" si="741"/>
        <v>A disseminação de informações associadas a epidemia do Zika Vírus: Uma pesquisa a partir de dados coletados no Twitter</v>
      </c>
      <c r="J888" s="20" t="str">
        <f t="shared" si="2"/>
        <v/>
      </c>
      <c r="K888" s="20"/>
      <c r="L888" s="20" t="str">
        <f t="shared" si="3"/>
        <v/>
      </c>
      <c r="M888" s="18"/>
      <c r="N888" s="21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</row>
    <row r="889">
      <c r="A889" s="8"/>
      <c r="B889" s="23"/>
      <c r="C889" s="24"/>
      <c r="D889" s="24"/>
      <c r="E889" s="18"/>
      <c r="F889" s="18"/>
      <c r="G889" s="25">
        <f t="shared" ref="G889:I889" si="742">G888</f>
        <v>2018</v>
      </c>
      <c r="H889" s="20" t="str">
        <f t="shared" si="742"/>
        <v>addiaa2018</v>
      </c>
      <c r="I889" s="20" t="str">
        <f t="shared" si="742"/>
        <v>A disseminação de informações associadas a epidemia do Zika Vírus: Uma pesquisa a partir de dados coletados no Twitter</v>
      </c>
      <c r="J889" s="20" t="str">
        <f t="shared" si="2"/>
        <v/>
      </c>
      <c r="K889" s="20"/>
      <c r="L889" s="20" t="str">
        <f t="shared" si="3"/>
        <v/>
      </c>
      <c r="M889" s="18"/>
      <c r="N889" s="21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</row>
    <row r="890">
      <c r="A890" s="8" t="s">
        <v>54</v>
      </c>
      <c r="B890" s="9">
        <v>2018.0</v>
      </c>
      <c r="C890" s="10" t="s">
        <v>357</v>
      </c>
      <c r="D890" s="10" t="s">
        <v>358</v>
      </c>
      <c r="E890" s="18"/>
      <c r="F890" s="18"/>
      <c r="G890" s="12">
        <f>B890</f>
        <v>2018</v>
      </c>
      <c r="H890" s="13" t="str">
        <f>LOWER(left(O890,1)&amp;left(P890,1)&amp;left(Q890,1)&amp;left(R890,1)&amp;left(S890,1)&amp;left(T890,1))&amp;G890</f>
        <v>caodpc2018</v>
      </c>
      <c r="I890" s="20" t="str">
        <f>trim(C890)</f>
        <v>Ciência Aberta: os desafios para concepção da ciência cidadã</v>
      </c>
      <c r="J890" s="20" t="str">
        <f t="shared" si="2"/>
        <v>Ciência aberta</v>
      </c>
      <c r="K890" s="20"/>
      <c r="L890" s="20" t="str">
        <f t="shared" si="3"/>
        <v>ciência aberta</v>
      </c>
      <c r="M890" s="18"/>
      <c r="N890" s="21" t="str">
        <f>IFERROR(__xludf.DUMMYFUNCTION("TRANSPOSE(split(D890,"";"",true,true))"),"Ciência aberta")</f>
        <v>Ciência aberta</v>
      </c>
      <c r="O890" s="6" t="str">
        <f>IFERROR(__xludf.DUMMYFUNCTION("split(C890,"" "")"),"Ciência")</f>
        <v>Ciência</v>
      </c>
      <c r="P890" s="18" t="str">
        <f>IFERROR(__xludf.DUMMYFUNCTION("""COMPUTED_VALUE"""),"Aberta:")</f>
        <v>Aberta:</v>
      </c>
      <c r="Q890" s="18" t="str">
        <f>IFERROR(__xludf.DUMMYFUNCTION("""COMPUTED_VALUE"""),"os")</f>
        <v>os</v>
      </c>
      <c r="R890" s="18" t="str">
        <f>IFERROR(__xludf.DUMMYFUNCTION("""COMPUTED_VALUE"""),"desafios")</f>
        <v>desafios</v>
      </c>
      <c r="S890" s="18" t="str">
        <f>IFERROR(__xludf.DUMMYFUNCTION("""COMPUTED_VALUE"""),"para")</f>
        <v>para</v>
      </c>
      <c r="T890" s="18" t="str">
        <f>IFERROR(__xludf.DUMMYFUNCTION("""COMPUTED_VALUE"""),"concepção")</f>
        <v>concepção</v>
      </c>
      <c r="U890" s="18" t="str">
        <f>IFERROR(__xludf.DUMMYFUNCTION("""COMPUTED_VALUE"""),"da")</f>
        <v>da</v>
      </c>
      <c r="V890" s="18" t="str">
        <f>IFERROR(__xludf.DUMMYFUNCTION("""COMPUTED_VALUE"""),"ciência")</f>
        <v>ciência</v>
      </c>
      <c r="W890" s="18" t="str">
        <f>IFERROR(__xludf.DUMMYFUNCTION("""COMPUTED_VALUE"""),"cidadã")</f>
        <v>cidadã</v>
      </c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</row>
    <row r="891">
      <c r="A891" s="22"/>
      <c r="B891" s="23"/>
      <c r="C891" s="24"/>
      <c r="D891" s="24"/>
      <c r="E891" s="18"/>
      <c r="F891" s="18"/>
      <c r="G891" s="25">
        <f t="shared" ref="G891:I891" si="743">G890</f>
        <v>2018</v>
      </c>
      <c r="H891" s="20" t="str">
        <f t="shared" si="743"/>
        <v>caodpc2018</v>
      </c>
      <c r="I891" s="20" t="str">
        <f t="shared" si="743"/>
        <v>Ciência Aberta: os desafios para concepção da ciência cidadã</v>
      </c>
      <c r="J891" s="20" t="str">
        <f t="shared" si="2"/>
        <v>Ciência cidadã</v>
      </c>
      <c r="K891" s="20"/>
      <c r="L891" s="20" t="str">
        <f t="shared" si="3"/>
        <v>ciência cidadã</v>
      </c>
      <c r="M891" s="18"/>
      <c r="N891" s="21" t="str">
        <f>IFERROR(__xludf.DUMMYFUNCTION("""COMPUTED_VALUE""")," Ciência cidadã")</f>
        <v> Ciência cidadã</v>
      </c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</row>
    <row r="892">
      <c r="A892" s="22"/>
      <c r="B892" s="23"/>
      <c r="C892" s="24"/>
      <c r="D892" s="24"/>
      <c r="E892" s="18"/>
      <c r="F892" s="18"/>
      <c r="G892" s="25">
        <f t="shared" ref="G892:I892" si="744">G891</f>
        <v>2018</v>
      </c>
      <c r="H892" s="20" t="str">
        <f t="shared" si="744"/>
        <v>caodpc2018</v>
      </c>
      <c r="I892" s="20" t="str">
        <f t="shared" si="744"/>
        <v>Ciência Aberta: os desafios para concepção da ciência cidadã</v>
      </c>
      <c r="J892" s="20" t="str">
        <f t="shared" si="2"/>
        <v>acesso aberto</v>
      </c>
      <c r="K892" s="20"/>
      <c r="L892" s="20" t="str">
        <f t="shared" si="3"/>
        <v>acesso aberto</v>
      </c>
      <c r="M892" s="18"/>
      <c r="N892" s="21" t="str">
        <f>IFERROR(__xludf.DUMMYFUNCTION("""COMPUTED_VALUE""")," acesso aberto")</f>
        <v> acesso aberto</v>
      </c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</row>
    <row r="893">
      <c r="A893" s="22"/>
      <c r="B893" s="23"/>
      <c r="C893" s="24"/>
      <c r="D893" s="24"/>
      <c r="E893" s="18"/>
      <c r="F893" s="18"/>
      <c r="G893" s="25">
        <f t="shared" ref="G893:I893" si="745">G892</f>
        <v>2018</v>
      </c>
      <c r="H893" s="20" t="str">
        <f t="shared" si="745"/>
        <v>caodpc2018</v>
      </c>
      <c r="I893" s="20" t="str">
        <f t="shared" si="745"/>
        <v>Ciência Aberta: os desafios para concepção da ciência cidadã</v>
      </c>
      <c r="J893" s="20" t="str">
        <f t="shared" si="2"/>
        <v>dados abertos</v>
      </c>
      <c r="K893" s="20"/>
      <c r="L893" s="20" t="str">
        <f t="shared" si="3"/>
        <v>dados abertos</v>
      </c>
      <c r="M893" s="18"/>
      <c r="N893" s="21" t="str">
        <f>IFERROR(__xludf.DUMMYFUNCTION("""COMPUTED_VALUE""")," dados abertos")</f>
        <v> dados abertos</v>
      </c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</row>
    <row r="894">
      <c r="A894" s="22"/>
      <c r="B894" s="23"/>
      <c r="C894" s="24"/>
      <c r="D894" s="24"/>
      <c r="E894" s="18"/>
      <c r="F894" s="18"/>
      <c r="G894" s="25">
        <f t="shared" ref="G894:I894" si="746">G893</f>
        <v>2018</v>
      </c>
      <c r="H894" s="20" t="str">
        <f t="shared" si="746"/>
        <v>caodpc2018</v>
      </c>
      <c r="I894" s="20" t="str">
        <f t="shared" si="746"/>
        <v>Ciência Aberta: os desafios para concepção da ciência cidadã</v>
      </c>
      <c r="J894" s="20" t="str">
        <f t="shared" si="2"/>
        <v>participação cidadã</v>
      </c>
      <c r="K894" s="20"/>
      <c r="L894" s="20" t="str">
        <f t="shared" si="3"/>
        <v>participação cidadã</v>
      </c>
      <c r="M894" s="18"/>
      <c r="N894" s="21" t="str">
        <f>IFERROR(__xludf.DUMMYFUNCTION("""COMPUTED_VALUE""")," participação cidadã")</f>
        <v> participação cidadã</v>
      </c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</row>
    <row r="895">
      <c r="A895" s="8"/>
      <c r="B895" s="23"/>
      <c r="C895" s="24"/>
      <c r="D895" s="24"/>
      <c r="E895" s="18"/>
      <c r="F895" s="18"/>
      <c r="G895" s="25">
        <f t="shared" ref="G895:I895" si="747">G894</f>
        <v>2018</v>
      </c>
      <c r="H895" s="20" t="str">
        <f t="shared" si="747"/>
        <v>caodpc2018</v>
      </c>
      <c r="I895" s="20" t="str">
        <f t="shared" si="747"/>
        <v>Ciência Aberta: os desafios para concepção da ciência cidadã</v>
      </c>
      <c r="J895" s="20" t="str">
        <f t="shared" si="2"/>
        <v/>
      </c>
      <c r="K895" s="20"/>
      <c r="L895" s="20" t="str">
        <f t="shared" si="3"/>
        <v/>
      </c>
      <c r="M895" s="18"/>
      <c r="N895" s="21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</row>
    <row r="896">
      <c r="A896" s="8" t="s">
        <v>54</v>
      </c>
      <c r="B896" s="9">
        <v>2018.0</v>
      </c>
      <c r="C896" s="10" t="s">
        <v>359</v>
      </c>
      <c r="D896" s="10" t="s">
        <v>360</v>
      </c>
      <c r="E896" s="18"/>
      <c r="F896" s="18"/>
      <c r="G896" s="12">
        <f>B896</f>
        <v>2018</v>
      </c>
      <c r="H896" s="13" t="str">
        <f>LOWER(left(O896,1)&amp;left(P896,1)&amp;left(Q896,1)&amp;left(R896,1)&amp;left(S896,1)&amp;left(T896,1))&amp;G896</f>
        <v>metudt2018</v>
      </c>
      <c r="I896" s="20" t="str">
        <f>trim(C896)</f>
        <v>Metadados e Twitter: uso do Tweet Object para identificação de local</v>
      </c>
      <c r="J896" s="20" t="str">
        <f t="shared" si="2"/>
        <v>Disseminação de dados</v>
      </c>
      <c r="K896" s="20"/>
      <c r="L896" s="20" t="str">
        <f t="shared" si="3"/>
        <v>disseminação de dados</v>
      </c>
      <c r="M896" s="18"/>
      <c r="N896" s="21" t="str">
        <f>IFERROR(__xludf.DUMMYFUNCTION("TRANSPOSE(split(D896,"";"",true,true))"),"Disseminação de dados")</f>
        <v>Disseminação de dados</v>
      </c>
      <c r="O896" s="6" t="str">
        <f>IFERROR(__xludf.DUMMYFUNCTION("split(C896,"" "")"),"Metadados")</f>
        <v>Metadados</v>
      </c>
      <c r="P896" s="18" t="str">
        <f>IFERROR(__xludf.DUMMYFUNCTION("""COMPUTED_VALUE"""),"e")</f>
        <v>e</v>
      </c>
      <c r="Q896" s="18" t="str">
        <f>IFERROR(__xludf.DUMMYFUNCTION("""COMPUTED_VALUE"""),"Twitter:")</f>
        <v>Twitter:</v>
      </c>
      <c r="R896" s="18" t="str">
        <f>IFERROR(__xludf.DUMMYFUNCTION("""COMPUTED_VALUE"""),"uso")</f>
        <v>uso</v>
      </c>
      <c r="S896" s="18" t="str">
        <f>IFERROR(__xludf.DUMMYFUNCTION("""COMPUTED_VALUE"""),"do")</f>
        <v>do</v>
      </c>
      <c r="T896" s="18" t="str">
        <f>IFERROR(__xludf.DUMMYFUNCTION("""COMPUTED_VALUE"""),"Tweet")</f>
        <v>Tweet</v>
      </c>
      <c r="U896" s="18" t="str">
        <f>IFERROR(__xludf.DUMMYFUNCTION("""COMPUTED_VALUE"""),"Object")</f>
        <v>Object</v>
      </c>
      <c r="V896" s="18" t="str">
        <f>IFERROR(__xludf.DUMMYFUNCTION("""COMPUTED_VALUE"""),"para")</f>
        <v>para</v>
      </c>
      <c r="W896" s="18" t="str">
        <f>IFERROR(__xludf.DUMMYFUNCTION("""COMPUTED_VALUE"""),"identificação")</f>
        <v>identificação</v>
      </c>
      <c r="X896" s="18" t="str">
        <f>IFERROR(__xludf.DUMMYFUNCTION("""COMPUTED_VALUE"""),"de")</f>
        <v>de</v>
      </c>
      <c r="Y896" s="18" t="str">
        <f>IFERROR(__xludf.DUMMYFUNCTION("""COMPUTED_VALUE"""),"local")</f>
        <v>local</v>
      </c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</row>
    <row r="897">
      <c r="A897" s="22"/>
      <c r="B897" s="23"/>
      <c r="C897" s="24"/>
      <c r="D897" s="24"/>
      <c r="E897" s="18"/>
      <c r="F897" s="18"/>
      <c r="G897" s="25">
        <f t="shared" ref="G897:I897" si="748">G896</f>
        <v>2018</v>
      </c>
      <c r="H897" s="20" t="str">
        <f t="shared" si="748"/>
        <v>metudt2018</v>
      </c>
      <c r="I897" s="20" t="str">
        <f t="shared" si="748"/>
        <v>Metadados e Twitter: uso do Tweet Object para identificação de local</v>
      </c>
      <c r="J897" s="20" t="str">
        <f t="shared" si="2"/>
        <v>Geolocalização</v>
      </c>
      <c r="K897" s="20"/>
      <c r="L897" s="20" t="str">
        <f t="shared" si="3"/>
        <v>geolocalização</v>
      </c>
      <c r="M897" s="18"/>
      <c r="N897" s="21" t="str">
        <f>IFERROR(__xludf.DUMMYFUNCTION("""COMPUTED_VALUE""")," Geolocalização")</f>
        <v> Geolocalização</v>
      </c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</row>
    <row r="898">
      <c r="A898" s="22"/>
      <c r="B898" s="23"/>
      <c r="C898" s="24"/>
      <c r="D898" s="24"/>
      <c r="E898" s="18"/>
      <c r="F898" s="18"/>
      <c r="G898" s="25">
        <f t="shared" ref="G898:I898" si="749">G897</f>
        <v>2018</v>
      </c>
      <c r="H898" s="20" t="str">
        <f t="shared" si="749"/>
        <v>metudt2018</v>
      </c>
      <c r="I898" s="20" t="str">
        <f t="shared" si="749"/>
        <v>Metadados e Twitter: uso do Tweet Object para identificação de local</v>
      </c>
      <c r="J898" s="20" t="str">
        <f t="shared" si="2"/>
        <v>Tweet Object</v>
      </c>
      <c r="K898" s="20"/>
      <c r="L898" s="20" t="str">
        <f t="shared" si="3"/>
        <v>tweet object</v>
      </c>
      <c r="M898" s="18"/>
      <c r="N898" s="21" t="str">
        <f>IFERROR(__xludf.DUMMYFUNCTION("""COMPUTED_VALUE""")," Tweet Object")</f>
        <v> Tweet Object</v>
      </c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</row>
    <row r="899">
      <c r="A899" s="22"/>
      <c r="B899" s="23"/>
      <c r="C899" s="24"/>
      <c r="D899" s="24"/>
      <c r="E899" s="18"/>
      <c r="F899" s="18"/>
      <c r="G899" s="25">
        <f t="shared" ref="G899:I899" si="750">G898</f>
        <v>2018</v>
      </c>
      <c r="H899" s="20" t="str">
        <f t="shared" si="750"/>
        <v>metudt2018</v>
      </c>
      <c r="I899" s="20" t="str">
        <f t="shared" si="750"/>
        <v>Metadados e Twitter: uso do Tweet Object para identificação de local</v>
      </c>
      <c r="J899" s="20" t="str">
        <f t="shared" si="2"/>
        <v>Twitter</v>
      </c>
      <c r="K899" s="20"/>
      <c r="L899" s="20" t="str">
        <f t="shared" si="3"/>
        <v>twitter</v>
      </c>
      <c r="M899" s="18"/>
      <c r="N899" s="21" t="str">
        <f>IFERROR(__xludf.DUMMYFUNCTION("""COMPUTED_VALUE""")," Twitter")</f>
        <v> Twitter</v>
      </c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</row>
    <row r="900">
      <c r="A900" s="22"/>
      <c r="B900" s="23"/>
      <c r="C900" s="24"/>
      <c r="D900" s="24"/>
      <c r="E900" s="18"/>
      <c r="F900" s="18"/>
      <c r="G900" s="25">
        <f t="shared" ref="G900:I900" si="751">G899</f>
        <v>2018</v>
      </c>
      <c r="H900" s="20" t="str">
        <f t="shared" si="751"/>
        <v>metudt2018</v>
      </c>
      <c r="I900" s="20" t="str">
        <f t="shared" si="751"/>
        <v>Metadados e Twitter: uso do Tweet Object para identificação de local</v>
      </c>
      <c r="J900" s="20" t="str">
        <f t="shared" si="2"/>
        <v/>
      </c>
      <c r="K900" s="20"/>
      <c r="L900" s="20" t="str">
        <f t="shared" si="3"/>
        <v/>
      </c>
      <c r="M900" s="18"/>
      <c r="N900" s="21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</row>
    <row r="901">
      <c r="A901" s="8"/>
      <c r="B901" s="23"/>
      <c r="C901" s="24"/>
      <c r="D901" s="24"/>
      <c r="E901" s="18"/>
      <c r="F901" s="18"/>
      <c r="G901" s="25">
        <f t="shared" ref="G901:I901" si="752">G900</f>
        <v>2018</v>
      </c>
      <c r="H901" s="20" t="str">
        <f t="shared" si="752"/>
        <v>metudt2018</v>
      </c>
      <c r="I901" s="20" t="str">
        <f t="shared" si="752"/>
        <v>Metadados e Twitter: uso do Tweet Object para identificação de local</v>
      </c>
      <c r="J901" s="20" t="str">
        <f t="shared" si="2"/>
        <v/>
      </c>
      <c r="K901" s="20"/>
      <c r="L901" s="20" t="str">
        <f t="shared" si="3"/>
        <v/>
      </c>
      <c r="M901" s="18"/>
      <c r="N901" s="21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</row>
    <row r="902">
      <c r="A902" s="8" t="s">
        <v>54</v>
      </c>
      <c r="B902" s="9">
        <v>2018.0</v>
      </c>
      <c r="C902" s="10" t="s">
        <v>361</v>
      </c>
      <c r="D902" s="10"/>
      <c r="E902" s="18"/>
      <c r="F902" s="18"/>
      <c r="G902" s="12">
        <f>B902</f>
        <v>2018</v>
      </c>
      <c r="H902" s="13" t="str">
        <f>LOWER(left(O902,1)&amp;left(P902,1)&amp;left(Q902,1)&amp;left(R902,1)&amp;left(S902,1)&amp;left(T902,1))&amp;G902</f>
        <v>mapdsa2018</v>
      </c>
      <c r="I902" s="20" t="str">
        <f>trim(C902)</f>
        <v>MPPB: a prestação de serviços ao cidadão através da disponibilização de dados</v>
      </c>
      <c r="J902" s="20" t="str">
        <f t="shared" si="2"/>
        <v/>
      </c>
      <c r="K902" s="20" t="s">
        <v>362</v>
      </c>
      <c r="L902" s="20" t="str">
        <f t="shared" si="3"/>
        <v>prestação serviço cidadão</v>
      </c>
      <c r="M902" s="18"/>
      <c r="N902" s="21" t="str">
        <f>IFERROR(__xludf.DUMMYFUNCTION("TRANSPOSE(split(D902,"";"",true,true))"),"#VALUE!")</f>
        <v>#VALUE!</v>
      </c>
      <c r="O902" s="6" t="str">
        <f>IFERROR(__xludf.DUMMYFUNCTION("split(C902,"" "")"),"MPPB:")</f>
        <v>MPPB:</v>
      </c>
      <c r="P902" s="18" t="str">
        <f>IFERROR(__xludf.DUMMYFUNCTION("""COMPUTED_VALUE"""),"a")</f>
        <v>a</v>
      </c>
      <c r="Q902" s="18" t="str">
        <f>IFERROR(__xludf.DUMMYFUNCTION("""COMPUTED_VALUE"""),"prestação")</f>
        <v>prestação</v>
      </c>
      <c r="R902" s="18" t="str">
        <f>IFERROR(__xludf.DUMMYFUNCTION("""COMPUTED_VALUE"""),"de")</f>
        <v>de</v>
      </c>
      <c r="S902" s="18" t="str">
        <f>IFERROR(__xludf.DUMMYFUNCTION("""COMPUTED_VALUE"""),"serviços")</f>
        <v>serviços</v>
      </c>
      <c r="T902" s="18" t="str">
        <f>IFERROR(__xludf.DUMMYFUNCTION("""COMPUTED_VALUE"""),"ao")</f>
        <v>ao</v>
      </c>
      <c r="U902" s="18" t="str">
        <f>IFERROR(__xludf.DUMMYFUNCTION("""COMPUTED_VALUE"""),"cidadão")</f>
        <v>cidadão</v>
      </c>
      <c r="V902" s="18" t="str">
        <f>IFERROR(__xludf.DUMMYFUNCTION("""COMPUTED_VALUE"""),"através")</f>
        <v>através</v>
      </c>
      <c r="W902" s="18" t="str">
        <f>IFERROR(__xludf.DUMMYFUNCTION("""COMPUTED_VALUE"""),"da")</f>
        <v>da</v>
      </c>
      <c r="X902" s="18" t="str">
        <f>IFERROR(__xludf.DUMMYFUNCTION("""COMPUTED_VALUE"""),"disponibilização")</f>
        <v>disponibilização</v>
      </c>
      <c r="Y902" s="18" t="str">
        <f>IFERROR(__xludf.DUMMYFUNCTION("""COMPUTED_VALUE"""),"de")</f>
        <v>de</v>
      </c>
      <c r="Z902" s="18" t="str">
        <f>IFERROR(__xludf.DUMMYFUNCTION("""COMPUTED_VALUE"""),"dados")</f>
        <v>dados</v>
      </c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</row>
    <row r="903">
      <c r="A903" s="22"/>
      <c r="B903" s="23"/>
      <c r="C903" s="24"/>
      <c r="D903" s="24"/>
      <c r="E903" s="18"/>
      <c r="F903" s="18"/>
      <c r="G903" s="25">
        <f t="shared" ref="G903:I903" si="753">G902</f>
        <v>2018</v>
      </c>
      <c r="H903" s="20" t="str">
        <f t="shared" si="753"/>
        <v>mapdsa2018</v>
      </c>
      <c r="I903" s="20" t="str">
        <f t="shared" si="753"/>
        <v>MPPB: a prestação de serviços ao cidadão através da disponibilização de dados</v>
      </c>
      <c r="J903" s="20" t="str">
        <f t="shared" si="2"/>
        <v/>
      </c>
      <c r="K903" s="20" t="s">
        <v>363</v>
      </c>
      <c r="L903" s="20" t="str">
        <f t="shared" si="3"/>
        <v>disseminação de dados</v>
      </c>
      <c r="M903" s="18"/>
      <c r="N903" s="21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</row>
    <row r="904">
      <c r="A904" s="22"/>
      <c r="B904" s="23"/>
      <c r="C904" s="24"/>
      <c r="D904" s="24"/>
      <c r="E904" s="18"/>
      <c r="F904" s="18"/>
      <c r="G904" s="25">
        <f t="shared" ref="G904:I904" si="754">G903</f>
        <v>2018</v>
      </c>
      <c r="H904" s="20" t="str">
        <f t="shared" si="754"/>
        <v>mapdsa2018</v>
      </c>
      <c r="I904" s="20" t="str">
        <f t="shared" si="754"/>
        <v>MPPB: a prestação de serviços ao cidadão através da disponibilização de dados</v>
      </c>
      <c r="J904" s="20" t="str">
        <f t="shared" si="2"/>
        <v/>
      </c>
      <c r="K904" s="20"/>
      <c r="L904" s="20" t="str">
        <f t="shared" si="3"/>
        <v/>
      </c>
      <c r="M904" s="18"/>
      <c r="N904" s="21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</row>
    <row r="905">
      <c r="A905" s="22"/>
      <c r="B905" s="23"/>
      <c r="C905" s="24"/>
      <c r="D905" s="24"/>
      <c r="E905" s="18"/>
      <c r="F905" s="18"/>
      <c r="G905" s="25">
        <f t="shared" ref="G905:I905" si="755">G904</f>
        <v>2018</v>
      </c>
      <c r="H905" s="20" t="str">
        <f t="shared" si="755"/>
        <v>mapdsa2018</v>
      </c>
      <c r="I905" s="20" t="str">
        <f t="shared" si="755"/>
        <v>MPPB: a prestação de serviços ao cidadão através da disponibilização de dados</v>
      </c>
      <c r="J905" s="20" t="str">
        <f t="shared" si="2"/>
        <v/>
      </c>
      <c r="K905" s="20"/>
      <c r="L905" s="20" t="str">
        <f t="shared" si="3"/>
        <v/>
      </c>
      <c r="M905" s="18"/>
      <c r="N905" s="21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</row>
    <row r="906">
      <c r="A906" s="22"/>
      <c r="B906" s="23"/>
      <c r="C906" s="24"/>
      <c r="D906" s="24"/>
      <c r="E906" s="18"/>
      <c r="F906" s="18"/>
      <c r="G906" s="25">
        <f t="shared" ref="G906:I906" si="756">G905</f>
        <v>2018</v>
      </c>
      <c r="H906" s="20" t="str">
        <f t="shared" si="756"/>
        <v>mapdsa2018</v>
      </c>
      <c r="I906" s="20" t="str">
        <f t="shared" si="756"/>
        <v>MPPB: a prestação de serviços ao cidadão através da disponibilização de dados</v>
      </c>
      <c r="J906" s="20" t="str">
        <f t="shared" si="2"/>
        <v/>
      </c>
      <c r="K906" s="20"/>
      <c r="L906" s="20" t="str">
        <f t="shared" si="3"/>
        <v/>
      </c>
      <c r="M906" s="18"/>
      <c r="N906" s="21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</row>
    <row r="907">
      <c r="A907" s="8"/>
      <c r="B907" s="23"/>
      <c r="C907" s="24"/>
      <c r="D907" s="24"/>
      <c r="E907" s="18"/>
      <c r="F907" s="18"/>
      <c r="G907" s="25">
        <f t="shared" ref="G907:I907" si="757">G906</f>
        <v>2018</v>
      </c>
      <c r="H907" s="20" t="str">
        <f t="shared" si="757"/>
        <v>mapdsa2018</v>
      </c>
      <c r="I907" s="20" t="str">
        <f t="shared" si="757"/>
        <v>MPPB: a prestação de serviços ao cidadão através da disponibilização de dados</v>
      </c>
      <c r="J907" s="20" t="str">
        <f t="shared" si="2"/>
        <v/>
      </c>
      <c r="K907" s="20"/>
      <c r="L907" s="20" t="str">
        <f t="shared" si="3"/>
        <v/>
      </c>
      <c r="M907" s="18"/>
      <c r="N907" s="21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</row>
    <row r="908">
      <c r="A908" s="8"/>
      <c r="B908" s="23"/>
      <c r="C908" s="24"/>
      <c r="D908" s="24"/>
      <c r="E908" s="18"/>
      <c r="F908" s="18"/>
      <c r="G908" s="25"/>
      <c r="H908" s="13" t="str">
        <f>LOWER(left(O908,1)&amp;left(P908,1)&amp;left(Q908,1)&amp;left(R908,1)&amp;left(S908,1)&amp;left(T908,1))&amp;G908</f>
        <v/>
      </c>
      <c r="I908" s="20" t="str">
        <f>trim(C908)</f>
        <v/>
      </c>
      <c r="J908" s="20"/>
      <c r="K908" s="20"/>
      <c r="L908" s="20"/>
      <c r="M908" s="18"/>
      <c r="N908" s="21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</row>
    <row r="909">
      <c r="A909" s="8"/>
      <c r="B909" s="23"/>
      <c r="C909" s="33"/>
      <c r="D909" s="33"/>
      <c r="E909" s="18"/>
      <c r="F909" s="18"/>
      <c r="G909" s="25"/>
      <c r="H909" s="20" t="str">
        <f t="shared" ref="H909:I909" si="758">H908</f>
        <v/>
      </c>
      <c r="I909" s="20" t="str">
        <f t="shared" si="758"/>
        <v/>
      </c>
      <c r="J909" s="20"/>
      <c r="K909" s="20"/>
      <c r="L909" s="20"/>
      <c r="M909" s="18"/>
      <c r="N909" s="21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</row>
    <row r="910">
      <c r="D910" s="24"/>
      <c r="E910" s="18"/>
      <c r="F910" s="18"/>
      <c r="G910" s="25"/>
      <c r="H910" s="20" t="str">
        <f t="shared" ref="H910:I910" si="759">H909</f>
        <v/>
      </c>
      <c r="I910" s="20" t="str">
        <f t="shared" si="759"/>
        <v/>
      </c>
      <c r="J910" s="20"/>
      <c r="K910" s="20"/>
      <c r="L910" s="20"/>
      <c r="M910" s="18"/>
      <c r="N910" s="21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</row>
    <row r="911">
      <c r="D911" s="24"/>
      <c r="E911" s="18"/>
      <c r="F911" s="18"/>
      <c r="G911" s="25"/>
      <c r="H911" s="20" t="str">
        <f t="shared" ref="H911:I911" si="760">H910</f>
        <v/>
      </c>
      <c r="I911" s="20" t="str">
        <f t="shared" si="760"/>
        <v/>
      </c>
      <c r="J911" s="20"/>
      <c r="K911" s="20"/>
      <c r="L911" s="20"/>
      <c r="M911" s="18"/>
      <c r="N911" s="21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</row>
    <row r="912">
      <c r="D912" s="24"/>
      <c r="E912" s="18"/>
      <c r="F912" s="18"/>
      <c r="G912" s="25"/>
      <c r="H912" s="20" t="str">
        <f t="shared" ref="H912:I912" si="761">H911</f>
        <v/>
      </c>
      <c r="I912" s="20" t="str">
        <f t="shared" si="761"/>
        <v/>
      </c>
      <c r="J912" s="20"/>
      <c r="K912" s="20"/>
      <c r="L912" s="20"/>
      <c r="M912" s="18"/>
      <c r="N912" s="21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</row>
    <row r="913">
      <c r="D913" s="24"/>
      <c r="E913" s="18"/>
      <c r="F913" s="18"/>
      <c r="G913" s="25"/>
      <c r="H913" s="20" t="str">
        <f t="shared" ref="H913:I913" si="762">H912</f>
        <v/>
      </c>
      <c r="I913" s="20" t="str">
        <f t="shared" si="762"/>
        <v/>
      </c>
      <c r="J913" s="20"/>
      <c r="K913" s="20"/>
      <c r="L913" s="20"/>
      <c r="M913" s="18"/>
      <c r="N913" s="21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</row>
    <row r="914">
      <c r="D914" s="24"/>
      <c r="E914" s="18"/>
      <c r="F914" s="18"/>
      <c r="G914" s="25"/>
      <c r="H914" s="20"/>
      <c r="I914" s="34"/>
      <c r="J914" s="20"/>
      <c r="K914" s="20"/>
      <c r="L914" s="20"/>
      <c r="M914" s="18"/>
      <c r="N914" s="21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</row>
    <row r="915">
      <c r="D915" s="24"/>
      <c r="E915" s="18"/>
      <c r="F915" s="18"/>
      <c r="G915" s="25"/>
      <c r="H915" s="20"/>
      <c r="I915" s="34"/>
      <c r="J915" s="20"/>
      <c r="K915" s="20"/>
      <c r="L915" s="20"/>
      <c r="M915" s="18"/>
      <c r="N915" s="21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</row>
    <row r="916">
      <c r="A916" s="8"/>
      <c r="B916" s="23"/>
      <c r="C916" s="24"/>
      <c r="D916" s="24"/>
      <c r="E916" s="18"/>
      <c r="F916" s="18"/>
      <c r="G916" s="25"/>
      <c r="H916" s="20"/>
      <c r="I916" s="34"/>
      <c r="J916" s="20"/>
      <c r="K916" s="20"/>
      <c r="L916" s="20"/>
      <c r="M916" s="18"/>
      <c r="N916" s="21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</row>
    <row r="917">
      <c r="A917" s="8"/>
      <c r="B917" s="23"/>
      <c r="C917" s="24"/>
      <c r="D917" s="24"/>
      <c r="E917" s="18"/>
      <c r="F917" s="18"/>
      <c r="G917" s="25"/>
      <c r="H917" s="20"/>
      <c r="I917" s="34"/>
      <c r="J917" s="20"/>
      <c r="K917" s="20"/>
      <c r="L917" s="20"/>
      <c r="M917" s="18"/>
      <c r="N917" s="21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88"/>
    <col customWidth="1" min="2" max="2" width="8.5"/>
    <col customWidth="1" min="3" max="3" width="46.0"/>
    <col customWidth="1" min="4" max="4" width="21.75"/>
    <col customWidth="1" min="5" max="5" width="18.38"/>
    <col customWidth="1" min="6" max="6" width="10.38"/>
  </cols>
  <sheetData>
    <row r="1">
      <c r="A1" s="35" t="s">
        <v>46</v>
      </c>
      <c r="B1" s="36" t="s">
        <v>364</v>
      </c>
      <c r="C1" s="37" t="s">
        <v>365</v>
      </c>
      <c r="D1" s="38" t="s">
        <v>366</v>
      </c>
      <c r="E1" s="37" t="s">
        <v>367</v>
      </c>
      <c r="F1" s="37" t="s">
        <v>368</v>
      </c>
      <c r="G1" s="1" t="s">
        <v>369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37" t="s">
        <v>370</v>
      </c>
      <c r="B2" s="36">
        <v>2022.0</v>
      </c>
      <c r="C2" s="37" t="s">
        <v>371</v>
      </c>
      <c r="D2" s="38" t="s">
        <v>372</v>
      </c>
      <c r="E2" s="37" t="s">
        <v>373</v>
      </c>
      <c r="F2" s="37" t="s">
        <v>374</v>
      </c>
      <c r="G2" s="1" t="s">
        <v>375</v>
      </c>
    </row>
    <row r="3">
      <c r="A3" s="37" t="s">
        <v>370</v>
      </c>
      <c r="B3" s="36">
        <v>2022.0</v>
      </c>
      <c r="C3" s="37" t="s">
        <v>376</v>
      </c>
      <c r="D3" s="38" t="s">
        <v>372</v>
      </c>
      <c r="E3" s="37" t="s">
        <v>373</v>
      </c>
      <c r="F3" s="37" t="s">
        <v>374</v>
      </c>
      <c r="G3" s="1" t="s">
        <v>375</v>
      </c>
    </row>
    <row r="4">
      <c r="A4" s="37" t="s">
        <v>377</v>
      </c>
      <c r="B4" s="36">
        <v>2022.0</v>
      </c>
      <c r="C4" s="37" t="s">
        <v>378</v>
      </c>
      <c r="D4" s="38" t="s">
        <v>30</v>
      </c>
      <c r="E4" s="37" t="s">
        <v>379</v>
      </c>
      <c r="F4" s="37" t="s">
        <v>380</v>
      </c>
      <c r="G4" s="1" t="s">
        <v>375</v>
      </c>
    </row>
    <row r="5">
      <c r="A5" s="37" t="s">
        <v>377</v>
      </c>
      <c r="B5" s="36">
        <v>2022.0</v>
      </c>
      <c r="C5" s="37" t="s">
        <v>381</v>
      </c>
      <c r="D5" s="38" t="s">
        <v>382</v>
      </c>
      <c r="E5" s="37" t="s">
        <v>383</v>
      </c>
      <c r="F5" s="37" t="s">
        <v>384</v>
      </c>
      <c r="G5" s="1" t="s">
        <v>375</v>
      </c>
    </row>
    <row r="6">
      <c r="A6" s="37" t="s">
        <v>377</v>
      </c>
      <c r="B6" s="36">
        <v>2022.0</v>
      </c>
      <c r="C6" s="37" t="s">
        <v>385</v>
      </c>
      <c r="D6" s="38" t="s">
        <v>30</v>
      </c>
      <c r="E6" s="37" t="s">
        <v>379</v>
      </c>
      <c r="F6" s="37" t="s">
        <v>380</v>
      </c>
      <c r="G6" s="1" t="s">
        <v>375</v>
      </c>
    </row>
    <row r="7">
      <c r="A7" s="37" t="s">
        <v>386</v>
      </c>
      <c r="B7" s="36">
        <v>2022.0</v>
      </c>
      <c r="C7" s="37" t="s">
        <v>387</v>
      </c>
      <c r="D7" s="38" t="s">
        <v>388</v>
      </c>
      <c r="E7" s="37" t="s">
        <v>389</v>
      </c>
      <c r="F7" s="37" t="s">
        <v>390</v>
      </c>
      <c r="G7" s="1" t="s">
        <v>375</v>
      </c>
    </row>
    <row r="8">
      <c r="A8" s="37" t="s">
        <v>391</v>
      </c>
      <c r="B8" s="36">
        <v>2022.0</v>
      </c>
      <c r="C8" s="37" t="s">
        <v>392</v>
      </c>
      <c r="D8" s="38" t="s">
        <v>393</v>
      </c>
      <c r="E8" s="37" t="s">
        <v>394</v>
      </c>
      <c r="F8" s="37" t="s">
        <v>395</v>
      </c>
      <c r="G8" s="1" t="s">
        <v>375</v>
      </c>
    </row>
    <row r="9">
      <c r="A9" s="37" t="s">
        <v>391</v>
      </c>
      <c r="B9" s="36">
        <v>2022.0</v>
      </c>
      <c r="C9" s="37" t="s">
        <v>396</v>
      </c>
      <c r="D9" s="38" t="s">
        <v>397</v>
      </c>
      <c r="E9" s="37" t="s">
        <v>398</v>
      </c>
      <c r="F9" s="37" t="s">
        <v>399</v>
      </c>
      <c r="G9" s="1" t="s">
        <v>400</v>
      </c>
    </row>
    <row r="10">
      <c r="A10" s="37" t="s">
        <v>391</v>
      </c>
      <c r="B10" s="36">
        <v>2022.0</v>
      </c>
      <c r="C10" s="37" t="s">
        <v>401</v>
      </c>
      <c r="D10" s="38" t="s">
        <v>393</v>
      </c>
      <c r="E10" s="37" t="s">
        <v>394</v>
      </c>
      <c r="F10" s="37" t="s">
        <v>395</v>
      </c>
      <c r="G10" s="1" t="s">
        <v>375</v>
      </c>
    </row>
    <row r="11">
      <c r="A11" s="37" t="s">
        <v>402</v>
      </c>
      <c r="B11" s="36">
        <v>2022.0</v>
      </c>
      <c r="C11" s="37" t="s">
        <v>403</v>
      </c>
      <c r="D11" s="38" t="s">
        <v>36</v>
      </c>
      <c r="E11" s="37" t="s">
        <v>404</v>
      </c>
      <c r="F11" s="37" t="s">
        <v>405</v>
      </c>
      <c r="G11" s="1" t="s">
        <v>375</v>
      </c>
    </row>
    <row r="12">
      <c r="A12" s="37" t="s">
        <v>402</v>
      </c>
      <c r="B12" s="36">
        <v>2022.0</v>
      </c>
      <c r="C12" s="37" t="s">
        <v>406</v>
      </c>
      <c r="D12" s="38" t="s">
        <v>36</v>
      </c>
      <c r="E12" s="37" t="s">
        <v>404</v>
      </c>
      <c r="F12" s="37" t="s">
        <v>405</v>
      </c>
      <c r="G12" s="1" t="s">
        <v>375</v>
      </c>
    </row>
    <row r="13">
      <c r="A13" s="37" t="s">
        <v>402</v>
      </c>
      <c r="B13" s="36">
        <v>2022.0</v>
      </c>
      <c r="C13" s="37" t="s">
        <v>407</v>
      </c>
      <c r="D13" s="38" t="s">
        <v>36</v>
      </c>
      <c r="E13" s="37" t="s">
        <v>404</v>
      </c>
      <c r="F13" s="37" t="s">
        <v>405</v>
      </c>
      <c r="G13" s="1" t="s">
        <v>375</v>
      </c>
    </row>
    <row r="14">
      <c r="A14" s="37" t="s">
        <v>408</v>
      </c>
      <c r="B14" s="36">
        <v>2022.0</v>
      </c>
      <c r="C14" s="37" t="s">
        <v>409</v>
      </c>
      <c r="D14" s="38" t="s">
        <v>26</v>
      </c>
      <c r="E14" s="37" t="s">
        <v>410</v>
      </c>
      <c r="F14" s="37" t="s">
        <v>411</v>
      </c>
      <c r="G14" s="1" t="s">
        <v>375</v>
      </c>
    </row>
    <row r="15">
      <c r="A15" s="37" t="s">
        <v>408</v>
      </c>
      <c r="B15" s="36">
        <v>2022.0</v>
      </c>
      <c r="C15" s="37" t="s">
        <v>412</v>
      </c>
      <c r="D15" s="38" t="s">
        <v>26</v>
      </c>
      <c r="E15" s="37" t="s">
        <v>410</v>
      </c>
      <c r="F15" s="37" t="s">
        <v>411</v>
      </c>
      <c r="G15" s="1" t="s">
        <v>375</v>
      </c>
    </row>
    <row r="16">
      <c r="A16" s="37" t="s">
        <v>408</v>
      </c>
      <c r="B16" s="36">
        <v>2022.0</v>
      </c>
      <c r="C16" s="37" t="s">
        <v>413</v>
      </c>
      <c r="D16" s="38" t="s">
        <v>414</v>
      </c>
      <c r="E16" s="37" t="s">
        <v>410</v>
      </c>
      <c r="F16" s="37" t="s">
        <v>411</v>
      </c>
      <c r="G16" s="1" t="s">
        <v>375</v>
      </c>
    </row>
    <row r="17">
      <c r="A17" s="37" t="s">
        <v>415</v>
      </c>
      <c r="B17" s="36">
        <v>2022.0</v>
      </c>
      <c r="C17" s="37" t="s">
        <v>416</v>
      </c>
      <c r="D17" s="38" t="s">
        <v>393</v>
      </c>
      <c r="E17" s="37" t="s">
        <v>394</v>
      </c>
      <c r="F17" s="37" t="s">
        <v>395</v>
      </c>
      <c r="G17" s="1" t="s">
        <v>375</v>
      </c>
    </row>
    <row r="18">
      <c r="A18" s="37" t="s">
        <v>415</v>
      </c>
      <c r="B18" s="36">
        <v>2022.0</v>
      </c>
      <c r="C18" s="37" t="s">
        <v>417</v>
      </c>
      <c r="D18" s="38" t="s">
        <v>418</v>
      </c>
      <c r="E18" s="37" t="s">
        <v>389</v>
      </c>
      <c r="F18" s="37" t="s">
        <v>390</v>
      </c>
      <c r="G18" s="1" t="s">
        <v>375</v>
      </c>
    </row>
    <row r="19">
      <c r="A19" s="37" t="s">
        <v>415</v>
      </c>
      <c r="B19" s="36">
        <v>2022.0</v>
      </c>
      <c r="C19" s="37" t="s">
        <v>419</v>
      </c>
      <c r="D19" s="38" t="s">
        <v>393</v>
      </c>
      <c r="E19" s="37" t="s">
        <v>394</v>
      </c>
      <c r="F19" s="37" t="s">
        <v>395</v>
      </c>
      <c r="G19" s="1" t="s">
        <v>375</v>
      </c>
    </row>
    <row r="20">
      <c r="A20" s="37" t="s">
        <v>420</v>
      </c>
      <c r="B20" s="36">
        <v>2022.0</v>
      </c>
      <c r="C20" s="37" t="s">
        <v>421</v>
      </c>
      <c r="D20" s="38" t="s">
        <v>393</v>
      </c>
      <c r="E20" s="37" t="s">
        <v>394</v>
      </c>
      <c r="F20" s="37" t="s">
        <v>395</v>
      </c>
      <c r="G20" s="1" t="s">
        <v>375</v>
      </c>
    </row>
    <row r="21">
      <c r="A21" s="37" t="s">
        <v>420</v>
      </c>
      <c r="B21" s="36">
        <v>2022.0</v>
      </c>
      <c r="C21" s="37" t="s">
        <v>422</v>
      </c>
      <c r="D21" s="38" t="s">
        <v>393</v>
      </c>
      <c r="E21" s="37" t="s">
        <v>394</v>
      </c>
      <c r="F21" s="37" t="s">
        <v>395</v>
      </c>
      <c r="G21" s="1" t="s">
        <v>375</v>
      </c>
    </row>
    <row r="22">
      <c r="A22" s="37" t="s">
        <v>420</v>
      </c>
      <c r="B22" s="36">
        <v>2022.0</v>
      </c>
      <c r="C22" s="37" t="s">
        <v>423</v>
      </c>
      <c r="D22" s="38" t="s">
        <v>418</v>
      </c>
      <c r="E22" s="37" t="s">
        <v>389</v>
      </c>
      <c r="F22" s="37" t="s">
        <v>390</v>
      </c>
      <c r="G22" s="1" t="s">
        <v>375</v>
      </c>
    </row>
    <row r="23">
      <c r="A23" s="37" t="s">
        <v>420</v>
      </c>
      <c r="B23" s="36">
        <v>2022.0</v>
      </c>
      <c r="C23" s="37" t="s">
        <v>424</v>
      </c>
      <c r="D23" s="38" t="s">
        <v>393</v>
      </c>
      <c r="E23" s="37" t="s">
        <v>394</v>
      </c>
      <c r="F23" s="37" t="s">
        <v>395</v>
      </c>
      <c r="G23" s="1" t="s">
        <v>375</v>
      </c>
    </row>
    <row r="24">
      <c r="A24" s="37" t="s">
        <v>425</v>
      </c>
      <c r="B24" s="36">
        <v>2022.0</v>
      </c>
      <c r="C24" s="37" t="s">
        <v>426</v>
      </c>
      <c r="D24" s="38" t="s">
        <v>13</v>
      </c>
      <c r="E24" s="37" t="s">
        <v>427</v>
      </c>
      <c r="F24" s="37" t="s">
        <v>428</v>
      </c>
      <c r="G24" s="1" t="s">
        <v>375</v>
      </c>
    </row>
    <row r="25">
      <c r="A25" s="37" t="s">
        <v>425</v>
      </c>
      <c r="B25" s="36">
        <v>2022.0</v>
      </c>
      <c r="C25" s="37" t="s">
        <v>429</v>
      </c>
      <c r="D25" s="38" t="s">
        <v>13</v>
      </c>
      <c r="E25" s="37" t="s">
        <v>427</v>
      </c>
      <c r="F25" s="37" t="s">
        <v>428</v>
      </c>
      <c r="G25" s="1" t="s">
        <v>375</v>
      </c>
    </row>
    <row r="26">
      <c r="A26" s="37" t="s">
        <v>425</v>
      </c>
      <c r="B26" s="36">
        <v>2022.0</v>
      </c>
      <c r="C26" s="37" t="s">
        <v>430</v>
      </c>
      <c r="D26" s="38" t="s">
        <v>431</v>
      </c>
      <c r="E26" s="37" t="s">
        <v>410</v>
      </c>
      <c r="F26" s="37" t="s">
        <v>411</v>
      </c>
      <c r="G26" s="1" t="s">
        <v>375</v>
      </c>
    </row>
    <row r="27">
      <c r="A27" s="37" t="s">
        <v>432</v>
      </c>
      <c r="B27" s="36">
        <v>2022.0</v>
      </c>
      <c r="C27" s="37" t="s">
        <v>433</v>
      </c>
      <c r="D27" s="38" t="s">
        <v>434</v>
      </c>
      <c r="E27" s="37" t="s">
        <v>379</v>
      </c>
      <c r="F27" s="37" t="s">
        <v>380</v>
      </c>
      <c r="G27" s="1" t="s">
        <v>375</v>
      </c>
    </row>
    <row r="28">
      <c r="A28" s="37" t="s">
        <v>432</v>
      </c>
      <c r="B28" s="36">
        <v>2022.0</v>
      </c>
      <c r="C28" s="37" t="s">
        <v>435</v>
      </c>
      <c r="D28" s="38" t="s">
        <v>434</v>
      </c>
      <c r="E28" s="37" t="s">
        <v>379</v>
      </c>
      <c r="F28" s="37" t="s">
        <v>380</v>
      </c>
      <c r="G28" s="1" t="s">
        <v>375</v>
      </c>
    </row>
    <row r="29">
      <c r="A29" s="37" t="s">
        <v>436</v>
      </c>
      <c r="B29" s="36">
        <v>2022.0</v>
      </c>
      <c r="C29" s="37" t="s">
        <v>437</v>
      </c>
      <c r="D29" s="38" t="s">
        <v>431</v>
      </c>
      <c r="E29" s="37" t="s">
        <v>410</v>
      </c>
      <c r="F29" s="37" t="s">
        <v>411</v>
      </c>
      <c r="G29" s="1" t="s">
        <v>375</v>
      </c>
    </row>
    <row r="30">
      <c r="A30" s="37" t="s">
        <v>436</v>
      </c>
      <c r="B30" s="36">
        <v>2022.0</v>
      </c>
      <c r="C30" s="37" t="s">
        <v>438</v>
      </c>
      <c r="D30" s="38" t="s">
        <v>431</v>
      </c>
      <c r="E30" s="37" t="s">
        <v>410</v>
      </c>
      <c r="F30" s="37" t="s">
        <v>411</v>
      </c>
      <c r="G30" s="1" t="s">
        <v>375</v>
      </c>
    </row>
    <row r="31">
      <c r="A31" s="37" t="s">
        <v>436</v>
      </c>
      <c r="B31" s="36">
        <v>2022.0</v>
      </c>
      <c r="C31" s="37" t="s">
        <v>439</v>
      </c>
      <c r="D31" s="38" t="s">
        <v>431</v>
      </c>
      <c r="E31" s="37" t="s">
        <v>410</v>
      </c>
      <c r="F31" s="37" t="s">
        <v>411</v>
      </c>
      <c r="G31" s="1" t="s">
        <v>375</v>
      </c>
    </row>
    <row r="32">
      <c r="A32" s="37" t="s">
        <v>436</v>
      </c>
      <c r="B32" s="36">
        <v>2022.0</v>
      </c>
      <c r="C32" s="37" t="s">
        <v>440</v>
      </c>
      <c r="D32" s="38" t="s">
        <v>431</v>
      </c>
      <c r="E32" s="37" t="s">
        <v>410</v>
      </c>
      <c r="F32" s="37" t="s">
        <v>411</v>
      </c>
      <c r="G32" s="1" t="s">
        <v>375</v>
      </c>
    </row>
    <row r="33">
      <c r="A33" s="37" t="s">
        <v>441</v>
      </c>
      <c r="B33" s="36">
        <v>2022.0</v>
      </c>
      <c r="C33" s="37" t="s">
        <v>406</v>
      </c>
      <c r="D33" s="38" t="s">
        <v>36</v>
      </c>
      <c r="E33" s="37" t="s">
        <v>404</v>
      </c>
      <c r="F33" s="37" t="s">
        <v>405</v>
      </c>
      <c r="G33" s="1" t="s">
        <v>375</v>
      </c>
    </row>
    <row r="34">
      <c r="A34" s="37" t="s">
        <v>441</v>
      </c>
      <c r="B34" s="36">
        <v>2022.0</v>
      </c>
      <c r="C34" s="37" t="s">
        <v>442</v>
      </c>
      <c r="D34" s="38" t="s">
        <v>36</v>
      </c>
      <c r="E34" s="37" t="s">
        <v>404</v>
      </c>
      <c r="F34" s="37" t="s">
        <v>405</v>
      </c>
      <c r="G34" s="1" t="s">
        <v>375</v>
      </c>
    </row>
    <row r="35">
      <c r="A35" s="37" t="s">
        <v>443</v>
      </c>
      <c r="B35" s="36">
        <v>2022.0</v>
      </c>
      <c r="C35" s="37" t="s">
        <v>444</v>
      </c>
      <c r="D35" s="38" t="s">
        <v>36</v>
      </c>
      <c r="E35" s="37" t="s">
        <v>404</v>
      </c>
      <c r="F35" s="37" t="s">
        <v>405</v>
      </c>
      <c r="G35" s="1" t="s">
        <v>375</v>
      </c>
    </row>
    <row r="36">
      <c r="A36" s="37" t="s">
        <v>443</v>
      </c>
      <c r="B36" s="36">
        <v>2022.0</v>
      </c>
      <c r="C36" s="37" t="s">
        <v>445</v>
      </c>
      <c r="D36" s="38" t="s">
        <v>36</v>
      </c>
      <c r="E36" s="37" t="s">
        <v>404</v>
      </c>
      <c r="F36" s="37" t="s">
        <v>405</v>
      </c>
      <c r="G36" s="1" t="s">
        <v>375</v>
      </c>
    </row>
    <row r="37">
      <c r="A37" s="37" t="s">
        <v>443</v>
      </c>
      <c r="B37" s="36">
        <v>2022.0</v>
      </c>
      <c r="C37" s="37" t="s">
        <v>446</v>
      </c>
      <c r="D37" s="38" t="s">
        <v>36</v>
      </c>
      <c r="E37" s="37" t="s">
        <v>404</v>
      </c>
      <c r="F37" s="37" t="s">
        <v>405</v>
      </c>
      <c r="G37" s="1" t="s">
        <v>375</v>
      </c>
    </row>
    <row r="38">
      <c r="A38" s="37" t="s">
        <v>443</v>
      </c>
      <c r="B38" s="36">
        <v>2022.0</v>
      </c>
      <c r="C38" s="37" t="s">
        <v>447</v>
      </c>
      <c r="D38" s="38" t="s">
        <v>36</v>
      </c>
      <c r="E38" s="37" t="s">
        <v>404</v>
      </c>
      <c r="F38" s="37" t="s">
        <v>405</v>
      </c>
      <c r="G38" s="1" t="s">
        <v>375</v>
      </c>
    </row>
    <row r="39">
      <c r="A39" s="37" t="s">
        <v>448</v>
      </c>
      <c r="B39" s="36">
        <v>2022.0</v>
      </c>
      <c r="C39" s="37" t="s">
        <v>449</v>
      </c>
      <c r="D39" s="38" t="s">
        <v>36</v>
      </c>
      <c r="E39" s="37" t="s">
        <v>404</v>
      </c>
      <c r="F39" s="37" t="s">
        <v>405</v>
      </c>
      <c r="G39" s="1" t="s">
        <v>375</v>
      </c>
    </row>
    <row r="40">
      <c r="A40" s="37" t="s">
        <v>448</v>
      </c>
      <c r="B40" s="36">
        <v>2022.0</v>
      </c>
      <c r="C40" s="37" t="s">
        <v>406</v>
      </c>
      <c r="D40" s="38" t="s">
        <v>36</v>
      </c>
      <c r="E40" s="37" t="s">
        <v>404</v>
      </c>
      <c r="F40" s="37" t="s">
        <v>405</v>
      </c>
      <c r="G40" s="1" t="s">
        <v>375</v>
      </c>
    </row>
    <row r="41">
      <c r="A41" s="37" t="s">
        <v>448</v>
      </c>
      <c r="B41" s="36">
        <v>2022.0</v>
      </c>
      <c r="C41" s="37" t="s">
        <v>450</v>
      </c>
      <c r="D41" s="38" t="s">
        <v>36</v>
      </c>
      <c r="E41" s="37" t="s">
        <v>404</v>
      </c>
      <c r="F41" s="37" t="s">
        <v>405</v>
      </c>
      <c r="G41" s="1" t="s">
        <v>375</v>
      </c>
    </row>
    <row r="42">
      <c r="A42" s="37" t="s">
        <v>451</v>
      </c>
      <c r="B42" s="36">
        <v>2022.0</v>
      </c>
      <c r="C42" s="37" t="s">
        <v>452</v>
      </c>
      <c r="D42" s="38" t="s">
        <v>36</v>
      </c>
      <c r="E42" s="37" t="s">
        <v>404</v>
      </c>
      <c r="F42" s="37" t="s">
        <v>405</v>
      </c>
      <c r="G42" s="1" t="s">
        <v>375</v>
      </c>
    </row>
    <row r="43">
      <c r="A43" s="37" t="s">
        <v>451</v>
      </c>
      <c r="B43" s="36">
        <v>2022.0</v>
      </c>
      <c r="C43" s="37" t="s">
        <v>453</v>
      </c>
      <c r="D43" s="38" t="s">
        <v>36</v>
      </c>
      <c r="E43" s="37" t="s">
        <v>404</v>
      </c>
      <c r="F43" s="37" t="s">
        <v>405</v>
      </c>
      <c r="G43" s="1" t="s">
        <v>375</v>
      </c>
    </row>
    <row r="44">
      <c r="A44" s="37" t="s">
        <v>454</v>
      </c>
      <c r="B44" s="36">
        <v>2022.0</v>
      </c>
      <c r="C44" s="37" t="s">
        <v>455</v>
      </c>
      <c r="D44" s="38" t="s">
        <v>13</v>
      </c>
      <c r="E44" s="37" t="s">
        <v>427</v>
      </c>
      <c r="F44" s="37" t="s">
        <v>428</v>
      </c>
      <c r="G44" s="1" t="s">
        <v>375</v>
      </c>
    </row>
    <row r="45">
      <c r="A45" s="37" t="s">
        <v>454</v>
      </c>
      <c r="B45" s="36">
        <v>2022.0</v>
      </c>
      <c r="C45" s="37" t="s">
        <v>456</v>
      </c>
      <c r="D45" s="38" t="s">
        <v>13</v>
      </c>
      <c r="E45" s="37" t="s">
        <v>427</v>
      </c>
      <c r="F45" s="37" t="s">
        <v>428</v>
      </c>
      <c r="G45" s="1" t="s">
        <v>375</v>
      </c>
    </row>
    <row r="46">
      <c r="A46" s="37" t="s">
        <v>454</v>
      </c>
      <c r="B46" s="36">
        <v>2022.0</v>
      </c>
      <c r="C46" s="37" t="s">
        <v>457</v>
      </c>
      <c r="D46" s="38" t="s">
        <v>13</v>
      </c>
      <c r="E46" s="37" t="s">
        <v>427</v>
      </c>
      <c r="F46" s="37" t="s">
        <v>428</v>
      </c>
      <c r="G46" s="1" t="s">
        <v>375</v>
      </c>
    </row>
    <row r="47">
      <c r="A47" s="37" t="s">
        <v>458</v>
      </c>
      <c r="B47" s="36">
        <v>2022.0</v>
      </c>
      <c r="C47" s="37" t="s">
        <v>459</v>
      </c>
      <c r="D47" s="38" t="s">
        <v>36</v>
      </c>
      <c r="E47" s="37" t="s">
        <v>404</v>
      </c>
      <c r="F47" s="37" t="s">
        <v>405</v>
      </c>
      <c r="G47" s="1" t="s">
        <v>375</v>
      </c>
    </row>
    <row r="48">
      <c r="A48" s="37" t="s">
        <v>458</v>
      </c>
      <c r="B48" s="36">
        <v>2022.0</v>
      </c>
      <c r="C48" s="37" t="s">
        <v>460</v>
      </c>
      <c r="D48" s="38" t="s">
        <v>36</v>
      </c>
      <c r="E48" s="37" t="s">
        <v>404</v>
      </c>
      <c r="F48" s="37" t="s">
        <v>405</v>
      </c>
      <c r="G48" s="1" t="s">
        <v>375</v>
      </c>
    </row>
    <row r="49">
      <c r="A49" s="37" t="s">
        <v>461</v>
      </c>
      <c r="B49" s="36">
        <v>2022.0</v>
      </c>
      <c r="C49" s="37" t="s">
        <v>437</v>
      </c>
      <c r="D49" s="38" t="s">
        <v>431</v>
      </c>
      <c r="E49" s="37" t="s">
        <v>410</v>
      </c>
      <c r="F49" s="37" t="s">
        <v>411</v>
      </c>
      <c r="G49" s="1" t="s">
        <v>375</v>
      </c>
    </row>
    <row r="50">
      <c r="A50" s="37" t="s">
        <v>461</v>
      </c>
      <c r="B50" s="36">
        <v>2022.0</v>
      </c>
      <c r="C50" s="37" t="s">
        <v>462</v>
      </c>
      <c r="D50" s="38" t="s">
        <v>431</v>
      </c>
      <c r="E50" s="37" t="s">
        <v>410</v>
      </c>
      <c r="F50" s="37" t="s">
        <v>411</v>
      </c>
      <c r="G50" s="1" t="s">
        <v>375</v>
      </c>
    </row>
    <row r="51">
      <c r="A51" s="37" t="s">
        <v>461</v>
      </c>
      <c r="B51" s="36">
        <v>2022.0</v>
      </c>
      <c r="C51" s="37" t="s">
        <v>439</v>
      </c>
      <c r="D51" s="38" t="s">
        <v>431</v>
      </c>
      <c r="E51" s="37" t="s">
        <v>410</v>
      </c>
      <c r="F51" s="37" t="s">
        <v>411</v>
      </c>
      <c r="G51" s="1" t="s">
        <v>375</v>
      </c>
    </row>
    <row r="52">
      <c r="A52" s="37" t="s">
        <v>463</v>
      </c>
      <c r="B52" s="36">
        <v>2022.0</v>
      </c>
      <c r="C52" s="37" t="s">
        <v>464</v>
      </c>
      <c r="D52" s="38" t="s">
        <v>36</v>
      </c>
      <c r="E52" s="37" t="s">
        <v>404</v>
      </c>
      <c r="F52" s="37" t="s">
        <v>405</v>
      </c>
      <c r="G52" s="1" t="s">
        <v>375</v>
      </c>
    </row>
    <row r="53">
      <c r="A53" s="37" t="s">
        <v>463</v>
      </c>
      <c r="B53" s="36">
        <v>2022.0</v>
      </c>
      <c r="C53" s="37" t="s">
        <v>407</v>
      </c>
      <c r="D53" s="38" t="s">
        <v>36</v>
      </c>
      <c r="E53" s="37" t="s">
        <v>404</v>
      </c>
      <c r="F53" s="37" t="s">
        <v>405</v>
      </c>
      <c r="G53" s="1" t="s">
        <v>375</v>
      </c>
    </row>
    <row r="54">
      <c r="A54" s="37" t="s">
        <v>465</v>
      </c>
      <c r="B54" s="36">
        <v>2022.0</v>
      </c>
      <c r="C54" s="37" t="s">
        <v>466</v>
      </c>
      <c r="D54" s="38" t="s">
        <v>434</v>
      </c>
      <c r="E54" s="37" t="s">
        <v>379</v>
      </c>
      <c r="F54" s="37" t="s">
        <v>380</v>
      </c>
      <c r="G54" s="1" t="s">
        <v>375</v>
      </c>
    </row>
    <row r="55">
      <c r="A55" s="37" t="s">
        <v>467</v>
      </c>
      <c r="B55" s="36">
        <v>2022.0</v>
      </c>
      <c r="C55" s="37" t="s">
        <v>468</v>
      </c>
      <c r="D55" s="38" t="s">
        <v>431</v>
      </c>
      <c r="E55" s="37" t="s">
        <v>410</v>
      </c>
      <c r="F55" s="37" t="s">
        <v>411</v>
      </c>
      <c r="G55" s="1" t="s">
        <v>375</v>
      </c>
    </row>
    <row r="56">
      <c r="A56" s="37" t="s">
        <v>467</v>
      </c>
      <c r="B56" s="36">
        <v>2022.0</v>
      </c>
      <c r="C56" s="37" t="s">
        <v>469</v>
      </c>
      <c r="D56" s="38" t="s">
        <v>431</v>
      </c>
      <c r="E56" s="37" t="s">
        <v>410</v>
      </c>
      <c r="F56" s="37" t="s">
        <v>411</v>
      </c>
      <c r="G56" s="1" t="s">
        <v>375</v>
      </c>
    </row>
    <row r="57">
      <c r="A57" s="37" t="s">
        <v>467</v>
      </c>
      <c r="B57" s="36">
        <v>2022.0</v>
      </c>
      <c r="C57" s="37" t="s">
        <v>470</v>
      </c>
      <c r="D57" s="38" t="s">
        <v>431</v>
      </c>
      <c r="E57" s="37" t="s">
        <v>410</v>
      </c>
      <c r="F57" s="37" t="s">
        <v>411</v>
      </c>
      <c r="G57" s="1" t="s">
        <v>375</v>
      </c>
    </row>
    <row r="58">
      <c r="A58" s="37" t="s">
        <v>471</v>
      </c>
      <c r="B58" s="36">
        <v>2022.0</v>
      </c>
      <c r="C58" s="37" t="s">
        <v>472</v>
      </c>
      <c r="D58" s="38" t="s">
        <v>473</v>
      </c>
      <c r="E58" s="37" t="s">
        <v>404</v>
      </c>
      <c r="F58" s="37" t="s">
        <v>405</v>
      </c>
      <c r="G58" s="1" t="s">
        <v>375</v>
      </c>
    </row>
    <row r="59">
      <c r="A59" s="37" t="s">
        <v>471</v>
      </c>
      <c r="B59" s="36">
        <v>2022.0</v>
      </c>
      <c r="C59" s="37" t="s">
        <v>449</v>
      </c>
      <c r="D59" s="38" t="s">
        <v>36</v>
      </c>
      <c r="E59" s="37" t="s">
        <v>404</v>
      </c>
      <c r="F59" s="37" t="s">
        <v>405</v>
      </c>
      <c r="G59" s="1" t="s">
        <v>375</v>
      </c>
    </row>
    <row r="60">
      <c r="A60" s="37" t="s">
        <v>474</v>
      </c>
      <c r="B60" s="36">
        <v>2022.0</v>
      </c>
      <c r="C60" s="37" t="s">
        <v>406</v>
      </c>
      <c r="D60" s="38" t="s">
        <v>36</v>
      </c>
      <c r="E60" s="37" t="s">
        <v>404</v>
      </c>
      <c r="F60" s="37" t="s">
        <v>405</v>
      </c>
      <c r="G60" s="1" t="s">
        <v>375</v>
      </c>
    </row>
    <row r="61">
      <c r="A61" s="37" t="s">
        <v>474</v>
      </c>
      <c r="B61" s="36">
        <v>2022.0</v>
      </c>
      <c r="C61" s="37" t="s">
        <v>475</v>
      </c>
      <c r="D61" s="38" t="s">
        <v>36</v>
      </c>
      <c r="E61" s="37" t="s">
        <v>404</v>
      </c>
      <c r="F61" s="37" t="s">
        <v>405</v>
      </c>
      <c r="G61" s="1" t="s">
        <v>375</v>
      </c>
    </row>
    <row r="62">
      <c r="A62" s="37" t="s">
        <v>476</v>
      </c>
      <c r="B62" s="36">
        <v>2022.0</v>
      </c>
      <c r="C62" s="37" t="s">
        <v>477</v>
      </c>
      <c r="D62" s="38" t="s">
        <v>393</v>
      </c>
      <c r="E62" s="37" t="s">
        <v>394</v>
      </c>
      <c r="F62" s="37" t="s">
        <v>395</v>
      </c>
      <c r="G62" s="1" t="s">
        <v>375</v>
      </c>
    </row>
    <row r="63">
      <c r="A63" s="37" t="s">
        <v>476</v>
      </c>
      <c r="B63" s="36">
        <v>2022.0</v>
      </c>
      <c r="C63" s="37" t="s">
        <v>478</v>
      </c>
      <c r="D63" s="38" t="s">
        <v>393</v>
      </c>
      <c r="E63" s="37" t="s">
        <v>394</v>
      </c>
      <c r="F63" s="37" t="s">
        <v>395</v>
      </c>
      <c r="G63" s="1" t="s">
        <v>375</v>
      </c>
    </row>
    <row r="64">
      <c r="A64" s="37" t="s">
        <v>479</v>
      </c>
      <c r="B64" s="36">
        <v>2022.0</v>
      </c>
      <c r="C64" s="37" t="s">
        <v>480</v>
      </c>
      <c r="D64" s="38" t="s">
        <v>30</v>
      </c>
      <c r="E64" s="37" t="s">
        <v>379</v>
      </c>
      <c r="F64" s="37" t="s">
        <v>380</v>
      </c>
      <c r="G64" s="1" t="s">
        <v>375</v>
      </c>
    </row>
    <row r="65">
      <c r="A65" s="37" t="s">
        <v>479</v>
      </c>
      <c r="B65" s="36">
        <v>2022.0</v>
      </c>
      <c r="C65" s="37" t="s">
        <v>385</v>
      </c>
      <c r="D65" s="38" t="s">
        <v>30</v>
      </c>
      <c r="E65" s="37" t="s">
        <v>379</v>
      </c>
      <c r="F65" s="37" t="s">
        <v>380</v>
      </c>
      <c r="G65" s="1" t="s">
        <v>375</v>
      </c>
    </row>
    <row r="66">
      <c r="A66" s="37" t="s">
        <v>481</v>
      </c>
      <c r="B66" s="36">
        <v>2022.0</v>
      </c>
      <c r="C66" s="37" t="s">
        <v>444</v>
      </c>
      <c r="D66" s="38" t="s">
        <v>36</v>
      </c>
      <c r="E66" s="37" t="s">
        <v>404</v>
      </c>
      <c r="F66" s="37" t="s">
        <v>405</v>
      </c>
      <c r="G66" s="1" t="s">
        <v>375</v>
      </c>
    </row>
    <row r="67">
      <c r="A67" s="37" t="s">
        <v>481</v>
      </c>
      <c r="B67" s="36">
        <v>2022.0</v>
      </c>
      <c r="C67" s="37" t="s">
        <v>452</v>
      </c>
      <c r="D67" s="38" t="s">
        <v>36</v>
      </c>
      <c r="E67" s="37" t="s">
        <v>404</v>
      </c>
      <c r="F67" s="37" t="s">
        <v>405</v>
      </c>
      <c r="G67" s="1" t="s">
        <v>375</v>
      </c>
    </row>
    <row r="68">
      <c r="A68" s="37" t="s">
        <v>481</v>
      </c>
      <c r="B68" s="36">
        <v>2022.0</v>
      </c>
      <c r="C68" s="37" t="s">
        <v>482</v>
      </c>
      <c r="D68" s="38" t="s">
        <v>483</v>
      </c>
      <c r="E68" s="37" t="s">
        <v>484</v>
      </c>
      <c r="F68" s="37" t="s">
        <v>399</v>
      </c>
      <c r="G68" s="1" t="s">
        <v>485</v>
      </c>
    </row>
    <row r="69">
      <c r="A69" s="37" t="s">
        <v>481</v>
      </c>
      <c r="B69" s="36">
        <v>2022.0</v>
      </c>
      <c r="C69" s="37" t="s">
        <v>486</v>
      </c>
      <c r="D69" s="38" t="s">
        <v>36</v>
      </c>
      <c r="E69" s="37" t="s">
        <v>404</v>
      </c>
      <c r="F69" s="37" t="s">
        <v>405</v>
      </c>
      <c r="G69" s="1" t="s">
        <v>375</v>
      </c>
    </row>
    <row r="70">
      <c r="A70" s="37" t="s">
        <v>487</v>
      </c>
      <c r="B70" s="36">
        <v>2022.0</v>
      </c>
      <c r="C70" s="37" t="s">
        <v>392</v>
      </c>
      <c r="D70" s="38" t="s">
        <v>393</v>
      </c>
      <c r="E70" s="37" t="s">
        <v>394</v>
      </c>
      <c r="F70" s="37" t="s">
        <v>395</v>
      </c>
      <c r="G70" s="1" t="s">
        <v>375</v>
      </c>
    </row>
    <row r="71">
      <c r="A71" s="37" t="s">
        <v>487</v>
      </c>
      <c r="B71" s="36">
        <v>2022.0</v>
      </c>
      <c r="C71" s="37" t="s">
        <v>488</v>
      </c>
      <c r="D71" s="38" t="s">
        <v>489</v>
      </c>
      <c r="E71" s="37" t="s">
        <v>490</v>
      </c>
      <c r="F71" s="37" t="s">
        <v>390</v>
      </c>
      <c r="G71" s="1" t="s">
        <v>375</v>
      </c>
    </row>
    <row r="72">
      <c r="A72" s="37" t="s">
        <v>487</v>
      </c>
      <c r="B72" s="36">
        <v>2022.0</v>
      </c>
      <c r="C72" s="37" t="s">
        <v>417</v>
      </c>
      <c r="D72" s="38" t="s">
        <v>418</v>
      </c>
      <c r="E72" s="37" t="s">
        <v>389</v>
      </c>
      <c r="F72" s="37" t="s">
        <v>390</v>
      </c>
      <c r="G72" s="1" t="s">
        <v>375</v>
      </c>
      <c r="H72" s="6" t="s">
        <v>491</v>
      </c>
    </row>
    <row r="73">
      <c r="A73" s="37" t="s">
        <v>487</v>
      </c>
      <c r="B73" s="36">
        <v>2022.0</v>
      </c>
      <c r="C73" s="37" t="s">
        <v>492</v>
      </c>
      <c r="D73" s="38" t="s">
        <v>393</v>
      </c>
      <c r="E73" s="37" t="s">
        <v>394</v>
      </c>
      <c r="F73" s="37" t="s">
        <v>395</v>
      </c>
      <c r="G73" s="1" t="s">
        <v>375</v>
      </c>
    </row>
    <row r="74">
      <c r="A74" s="37" t="s">
        <v>493</v>
      </c>
      <c r="B74" s="36">
        <v>2022.0</v>
      </c>
      <c r="C74" s="37" t="s">
        <v>494</v>
      </c>
      <c r="D74" s="38" t="s">
        <v>13</v>
      </c>
      <c r="E74" s="37" t="s">
        <v>427</v>
      </c>
      <c r="F74" s="37" t="s">
        <v>428</v>
      </c>
      <c r="G74" s="1" t="s">
        <v>375</v>
      </c>
    </row>
    <row r="75">
      <c r="A75" s="37" t="s">
        <v>493</v>
      </c>
      <c r="B75" s="36">
        <v>2022.0</v>
      </c>
      <c r="C75" s="37" t="s">
        <v>495</v>
      </c>
      <c r="D75" s="38" t="s">
        <v>431</v>
      </c>
      <c r="E75" s="37" t="s">
        <v>410</v>
      </c>
      <c r="F75" s="37" t="s">
        <v>411</v>
      </c>
      <c r="G75" s="1" t="s">
        <v>375</v>
      </c>
    </row>
    <row r="76">
      <c r="A76" s="37" t="s">
        <v>493</v>
      </c>
      <c r="B76" s="36">
        <v>2022.0</v>
      </c>
      <c r="C76" s="37" t="s">
        <v>385</v>
      </c>
      <c r="D76" s="38" t="s">
        <v>30</v>
      </c>
      <c r="E76" s="37" t="s">
        <v>379</v>
      </c>
      <c r="F76" s="37" t="s">
        <v>380</v>
      </c>
      <c r="G76" s="1" t="s">
        <v>375</v>
      </c>
    </row>
    <row r="77">
      <c r="A77" s="37" t="s">
        <v>493</v>
      </c>
      <c r="B77" s="36">
        <v>2022.0</v>
      </c>
      <c r="C77" s="37" t="s">
        <v>496</v>
      </c>
      <c r="D77" s="38" t="s">
        <v>431</v>
      </c>
      <c r="E77" s="37" t="s">
        <v>410</v>
      </c>
      <c r="F77" s="37" t="s">
        <v>411</v>
      </c>
      <c r="G77" s="1" t="s">
        <v>375</v>
      </c>
    </row>
    <row r="78">
      <c r="A78" s="37" t="s">
        <v>493</v>
      </c>
      <c r="B78" s="36">
        <v>2022.0</v>
      </c>
      <c r="C78" s="37" t="s">
        <v>497</v>
      </c>
      <c r="D78" s="38" t="s">
        <v>431</v>
      </c>
      <c r="E78" s="37" t="s">
        <v>410</v>
      </c>
      <c r="F78" s="37" t="s">
        <v>411</v>
      </c>
      <c r="G78" s="1" t="s">
        <v>375</v>
      </c>
    </row>
    <row r="79">
      <c r="A79" s="37" t="s">
        <v>498</v>
      </c>
      <c r="B79" s="36">
        <v>2022.0</v>
      </c>
      <c r="C79" s="37" t="s">
        <v>499</v>
      </c>
      <c r="D79" s="38" t="s">
        <v>434</v>
      </c>
      <c r="E79" s="37" t="s">
        <v>379</v>
      </c>
      <c r="F79" s="37" t="s">
        <v>380</v>
      </c>
      <c r="G79" s="1" t="s">
        <v>375</v>
      </c>
    </row>
    <row r="80">
      <c r="A80" s="37" t="s">
        <v>498</v>
      </c>
      <c r="B80" s="36">
        <v>2022.0</v>
      </c>
      <c r="C80" s="37" t="s">
        <v>500</v>
      </c>
      <c r="D80" s="38" t="s">
        <v>434</v>
      </c>
      <c r="E80" s="37" t="s">
        <v>379</v>
      </c>
      <c r="F80" s="37" t="s">
        <v>380</v>
      </c>
      <c r="G80" s="1" t="s">
        <v>375</v>
      </c>
    </row>
    <row r="81">
      <c r="A81" s="37" t="s">
        <v>498</v>
      </c>
      <c r="B81" s="36">
        <v>2022.0</v>
      </c>
      <c r="C81" s="37" t="s">
        <v>501</v>
      </c>
      <c r="D81" s="38" t="s">
        <v>434</v>
      </c>
      <c r="E81" s="37" t="s">
        <v>379</v>
      </c>
      <c r="F81" s="37" t="s">
        <v>380</v>
      </c>
      <c r="G81" s="1" t="s">
        <v>375</v>
      </c>
    </row>
    <row r="82">
      <c r="A82" s="37" t="s">
        <v>502</v>
      </c>
      <c r="B82" s="36">
        <v>2022.0</v>
      </c>
      <c r="C82" s="37" t="s">
        <v>503</v>
      </c>
      <c r="D82" s="38" t="s">
        <v>431</v>
      </c>
      <c r="E82" s="37" t="s">
        <v>410</v>
      </c>
      <c r="F82" s="37" t="s">
        <v>411</v>
      </c>
      <c r="G82" s="1" t="s">
        <v>375</v>
      </c>
    </row>
    <row r="83">
      <c r="A83" s="37" t="s">
        <v>502</v>
      </c>
      <c r="B83" s="36">
        <v>2022.0</v>
      </c>
      <c r="C83" s="37" t="s">
        <v>504</v>
      </c>
      <c r="D83" s="38" t="s">
        <v>431</v>
      </c>
      <c r="E83" s="37" t="s">
        <v>410</v>
      </c>
      <c r="F83" s="37" t="s">
        <v>411</v>
      </c>
      <c r="G83" s="1" t="s">
        <v>375</v>
      </c>
    </row>
    <row r="84">
      <c r="A84" s="37" t="s">
        <v>502</v>
      </c>
      <c r="B84" s="36">
        <v>2022.0</v>
      </c>
      <c r="C84" s="37" t="s">
        <v>430</v>
      </c>
      <c r="D84" s="38" t="s">
        <v>431</v>
      </c>
      <c r="E84" s="37" t="s">
        <v>410</v>
      </c>
      <c r="F84" s="37" t="s">
        <v>411</v>
      </c>
      <c r="G84" s="1" t="s">
        <v>375</v>
      </c>
    </row>
    <row r="85">
      <c r="A85" s="37" t="s">
        <v>502</v>
      </c>
      <c r="B85" s="36">
        <v>2022.0</v>
      </c>
      <c r="C85" s="37" t="s">
        <v>505</v>
      </c>
      <c r="D85" s="38" t="s">
        <v>431</v>
      </c>
      <c r="E85" s="37" t="s">
        <v>410</v>
      </c>
      <c r="F85" s="37" t="s">
        <v>411</v>
      </c>
      <c r="G85" s="1" t="s">
        <v>375</v>
      </c>
    </row>
    <row r="86">
      <c r="A86" s="37" t="s">
        <v>502</v>
      </c>
      <c r="B86" s="36">
        <v>2022.0</v>
      </c>
      <c r="C86" s="37" t="s">
        <v>497</v>
      </c>
      <c r="D86" s="38" t="s">
        <v>431</v>
      </c>
      <c r="E86" s="37" t="s">
        <v>410</v>
      </c>
      <c r="F86" s="37" t="s">
        <v>411</v>
      </c>
      <c r="G86" s="1" t="s">
        <v>375</v>
      </c>
    </row>
    <row r="87">
      <c r="A87" s="37" t="s">
        <v>506</v>
      </c>
      <c r="B87" s="36">
        <v>2022.0</v>
      </c>
      <c r="C87" s="37" t="s">
        <v>507</v>
      </c>
      <c r="D87" s="38" t="s">
        <v>508</v>
      </c>
      <c r="E87" s="37" t="s">
        <v>509</v>
      </c>
      <c r="F87" s="37" t="s">
        <v>390</v>
      </c>
      <c r="G87" s="1" t="s">
        <v>375</v>
      </c>
    </row>
    <row r="88">
      <c r="A88" s="37" t="s">
        <v>506</v>
      </c>
      <c r="B88" s="36">
        <v>2022.0</v>
      </c>
      <c r="C88" s="37" t="s">
        <v>510</v>
      </c>
      <c r="D88" s="38" t="s">
        <v>36</v>
      </c>
      <c r="E88" s="37" t="s">
        <v>404</v>
      </c>
      <c r="F88" s="37" t="s">
        <v>405</v>
      </c>
      <c r="G88" s="1" t="s">
        <v>375</v>
      </c>
    </row>
    <row r="89">
      <c r="A89" s="37" t="s">
        <v>506</v>
      </c>
      <c r="B89" s="36">
        <v>2022.0</v>
      </c>
      <c r="C89" s="37" t="s">
        <v>449</v>
      </c>
      <c r="D89" s="38" t="s">
        <v>36</v>
      </c>
      <c r="E89" s="37" t="s">
        <v>404</v>
      </c>
      <c r="F89" s="37" t="s">
        <v>405</v>
      </c>
      <c r="G89" s="1" t="s">
        <v>375</v>
      </c>
    </row>
    <row r="90">
      <c r="A90" s="37" t="s">
        <v>506</v>
      </c>
      <c r="B90" s="36">
        <v>2022.0</v>
      </c>
      <c r="C90" s="37" t="s">
        <v>511</v>
      </c>
      <c r="D90" s="38" t="s">
        <v>508</v>
      </c>
      <c r="E90" s="37" t="s">
        <v>509</v>
      </c>
      <c r="F90" s="37" t="s">
        <v>390</v>
      </c>
      <c r="G90" s="1" t="s">
        <v>375</v>
      </c>
    </row>
    <row r="91">
      <c r="A91" s="37" t="s">
        <v>506</v>
      </c>
      <c r="B91" s="36">
        <v>2022.0</v>
      </c>
      <c r="C91" s="37" t="s">
        <v>512</v>
      </c>
      <c r="D91" s="38" t="s">
        <v>36</v>
      </c>
      <c r="E91" s="37" t="s">
        <v>404</v>
      </c>
      <c r="F91" s="37" t="s">
        <v>405</v>
      </c>
      <c r="G91" s="1" t="s">
        <v>375</v>
      </c>
    </row>
    <row r="92">
      <c r="A92" s="37" t="s">
        <v>513</v>
      </c>
      <c r="B92" s="36">
        <v>2022.0</v>
      </c>
      <c r="C92" s="37" t="s">
        <v>514</v>
      </c>
      <c r="D92" s="38" t="s">
        <v>36</v>
      </c>
      <c r="E92" s="37" t="s">
        <v>404</v>
      </c>
      <c r="F92" s="37" t="s">
        <v>405</v>
      </c>
      <c r="G92" s="1" t="s">
        <v>375</v>
      </c>
    </row>
    <row r="93">
      <c r="A93" s="37" t="s">
        <v>513</v>
      </c>
      <c r="B93" s="36">
        <v>2022.0</v>
      </c>
      <c r="C93" s="37" t="s">
        <v>409</v>
      </c>
      <c r="D93" s="38" t="s">
        <v>26</v>
      </c>
      <c r="E93" s="37" t="s">
        <v>410</v>
      </c>
      <c r="F93" s="37" t="s">
        <v>411</v>
      </c>
      <c r="G93" s="1" t="s">
        <v>375</v>
      </c>
    </row>
    <row r="94">
      <c r="A94" s="37" t="s">
        <v>513</v>
      </c>
      <c r="B94" s="36">
        <v>2022.0</v>
      </c>
      <c r="C94" s="37" t="s">
        <v>449</v>
      </c>
      <c r="D94" s="38" t="s">
        <v>36</v>
      </c>
      <c r="E94" s="37" t="s">
        <v>404</v>
      </c>
      <c r="F94" s="37" t="s">
        <v>405</v>
      </c>
      <c r="G94" s="1" t="s">
        <v>375</v>
      </c>
    </row>
    <row r="95">
      <c r="A95" s="37" t="s">
        <v>513</v>
      </c>
      <c r="B95" s="36">
        <v>2022.0</v>
      </c>
      <c r="C95" s="37" t="s">
        <v>515</v>
      </c>
      <c r="D95" s="38" t="s">
        <v>36</v>
      </c>
      <c r="E95" s="37" t="s">
        <v>404</v>
      </c>
      <c r="F95" s="37" t="s">
        <v>405</v>
      </c>
      <c r="G95" s="1" t="s">
        <v>375</v>
      </c>
    </row>
    <row r="96">
      <c r="A96" s="37" t="s">
        <v>513</v>
      </c>
      <c r="B96" s="36">
        <v>2022.0</v>
      </c>
      <c r="C96" s="37" t="s">
        <v>516</v>
      </c>
      <c r="D96" s="38" t="s">
        <v>36</v>
      </c>
      <c r="E96" s="37" t="s">
        <v>404</v>
      </c>
      <c r="F96" s="37" t="s">
        <v>405</v>
      </c>
      <c r="G96" s="1" t="s">
        <v>375</v>
      </c>
    </row>
    <row r="97">
      <c r="A97" s="37" t="s">
        <v>513</v>
      </c>
      <c r="B97" s="36">
        <v>2022.0</v>
      </c>
      <c r="C97" s="37" t="s">
        <v>517</v>
      </c>
      <c r="D97" s="38" t="s">
        <v>36</v>
      </c>
      <c r="E97" s="37" t="s">
        <v>404</v>
      </c>
      <c r="F97" s="37" t="s">
        <v>405</v>
      </c>
      <c r="G97" s="1" t="s">
        <v>375</v>
      </c>
    </row>
    <row r="98">
      <c r="A98" s="37" t="s">
        <v>518</v>
      </c>
      <c r="B98" s="36">
        <v>2022.0</v>
      </c>
      <c r="C98" s="37" t="s">
        <v>519</v>
      </c>
      <c r="D98" s="38" t="s">
        <v>520</v>
      </c>
      <c r="E98" s="37" t="s">
        <v>379</v>
      </c>
      <c r="F98" s="37" t="s">
        <v>380</v>
      </c>
      <c r="G98" s="1" t="s">
        <v>375</v>
      </c>
    </row>
    <row r="99">
      <c r="A99" s="37" t="s">
        <v>518</v>
      </c>
      <c r="B99" s="36">
        <v>2022.0</v>
      </c>
      <c r="C99" s="37" t="s">
        <v>500</v>
      </c>
      <c r="D99" s="38" t="s">
        <v>434</v>
      </c>
      <c r="E99" s="37" t="s">
        <v>379</v>
      </c>
      <c r="F99" s="37" t="s">
        <v>380</v>
      </c>
      <c r="G99" s="1" t="s">
        <v>375</v>
      </c>
    </row>
    <row r="100">
      <c r="A100" s="37" t="s">
        <v>521</v>
      </c>
      <c r="B100" s="36">
        <v>2022.0</v>
      </c>
      <c r="C100" s="37" t="s">
        <v>522</v>
      </c>
      <c r="D100" s="38" t="s">
        <v>36</v>
      </c>
      <c r="E100" s="37" t="s">
        <v>404</v>
      </c>
      <c r="F100" s="37" t="s">
        <v>405</v>
      </c>
      <c r="G100" s="1" t="s">
        <v>375</v>
      </c>
    </row>
    <row r="101">
      <c r="A101" s="37" t="s">
        <v>521</v>
      </c>
      <c r="B101" s="36">
        <v>2022.0</v>
      </c>
      <c r="C101" s="37" t="s">
        <v>449</v>
      </c>
      <c r="D101" s="38" t="s">
        <v>36</v>
      </c>
      <c r="E101" s="37" t="s">
        <v>404</v>
      </c>
      <c r="F101" s="37" t="s">
        <v>405</v>
      </c>
      <c r="G101" s="1" t="s">
        <v>375</v>
      </c>
    </row>
    <row r="102">
      <c r="A102" s="37" t="s">
        <v>523</v>
      </c>
      <c r="B102" s="36">
        <v>2022.0</v>
      </c>
      <c r="C102" s="37" t="s">
        <v>524</v>
      </c>
      <c r="D102" s="38" t="s">
        <v>393</v>
      </c>
      <c r="E102" s="37" t="s">
        <v>394</v>
      </c>
      <c r="F102" s="37" t="s">
        <v>395</v>
      </c>
      <c r="G102" s="1" t="s">
        <v>375</v>
      </c>
    </row>
    <row r="103">
      <c r="A103" s="37" t="s">
        <v>525</v>
      </c>
      <c r="B103" s="36">
        <v>2022.0</v>
      </c>
      <c r="C103" s="37" t="s">
        <v>526</v>
      </c>
      <c r="D103" s="38" t="s">
        <v>434</v>
      </c>
      <c r="E103" s="37" t="s">
        <v>379</v>
      </c>
      <c r="F103" s="37" t="s">
        <v>380</v>
      </c>
      <c r="G103" s="1" t="s">
        <v>375</v>
      </c>
    </row>
    <row r="104">
      <c r="A104" s="37" t="s">
        <v>525</v>
      </c>
      <c r="B104" s="36">
        <v>2022.0</v>
      </c>
      <c r="C104" s="37" t="s">
        <v>527</v>
      </c>
      <c r="D104" s="38" t="s">
        <v>434</v>
      </c>
      <c r="E104" s="37" t="s">
        <v>379</v>
      </c>
      <c r="F104" s="37" t="s">
        <v>380</v>
      </c>
      <c r="G104" s="1" t="s">
        <v>375</v>
      </c>
    </row>
    <row r="105">
      <c r="A105" s="37" t="s">
        <v>525</v>
      </c>
      <c r="B105" s="36">
        <v>2022.0</v>
      </c>
      <c r="C105" s="37" t="s">
        <v>528</v>
      </c>
      <c r="D105" s="38" t="s">
        <v>434</v>
      </c>
      <c r="E105" s="37" t="s">
        <v>379</v>
      </c>
      <c r="F105" s="37" t="s">
        <v>380</v>
      </c>
      <c r="G105" s="1" t="s">
        <v>375</v>
      </c>
    </row>
    <row r="106">
      <c r="A106" s="37" t="s">
        <v>525</v>
      </c>
      <c r="B106" s="36">
        <v>2022.0</v>
      </c>
      <c r="C106" s="37" t="s">
        <v>501</v>
      </c>
      <c r="D106" s="38" t="s">
        <v>434</v>
      </c>
      <c r="E106" s="37" t="s">
        <v>379</v>
      </c>
      <c r="F106" s="37" t="s">
        <v>380</v>
      </c>
      <c r="G106" s="1" t="s">
        <v>375</v>
      </c>
    </row>
    <row r="107">
      <c r="A107" s="37" t="s">
        <v>529</v>
      </c>
      <c r="B107" s="36">
        <v>2019.0</v>
      </c>
      <c r="C107" s="37" t="s">
        <v>530</v>
      </c>
      <c r="D107" s="38" t="s">
        <v>434</v>
      </c>
      <c r="E107" s="37" t="s">
        <v>379</v>
      </c>
      <c r="F107" s="37" t="s">
        <v>380</v>
      </c>
      <c r="G107" s="1" t="s">
        <v>375</v>
      </c>
    </row>
    <row r="108">
      <c r="A108" s="37" t="s">
        <v>529</v>
      </c>
      <c r="B108" s="36">
        <v>2019.0</v>
      </c>
      <c r="C108" s="37" t="s">
        <v>500</v>
      </c>
      <c r="D108" s="38" t="s">
        <v>434</v>
      </c>
      <c r="E108" s="37" t="s">
        <v>379</v>
      </c>
      <c r="F108" s="37" t="s">
        <v>380</v>
      </c>
      <c r="G108" s="1" t="s">
        <v>375</v>
      </c>
    </row>
    <row r="109">
      <c r="A109" s="37" t="s">
        <v>531</v>
      </c>
      <c r="B109" s="36">
        <v>2019.0</v>
      </c>
      <c r="C109" s="37" t="s">
        <v>412</v>
      </c>
      <c r="D109" s="38" t="s">
        <v>532</v>
      </c>
      <c r="E109" s="37" t="s">
        <v>410</v>
      </c>
      <c r="F109" s="37" t="s">
        <v>411</v>
      </c>
      <c r="G109" s="1" t="s">
        <v>375</v>
      </c>
    </row>
    <row r="110">
      <c r="A110" s="37" t="s">
        <v>531</v>
      </c>
      <c r="B110" s="36">
        <v>2019.0</v>
      </c>
      <c r="C110" s="37" t="s">
        <v>409</v>
      </c>
      <c r="D110" s="38" t="s">
        <v>532</v>
      </c>
      <c r="E110" s="37" t="s">
        <v>410</v>
      </c>
      <c r="F110" s="37" t="s">
        <v>411</v>
      </c>
      <c r="G110" s="1" t="s">
        <v>375</v>
      </c>
    </row>
    <row r="111">
      <c r="A111" s="37" t="s">
        <v>533</v>
      </c>
      <c r="B111" s="36">
        <v>2019.0</v>
      </c>
      <c r="C111" s="37" t="s">
        <v>534</v>
      </c>
      <c r="D111" s="38" t="s">
        <v>535</v>
      </c>
      <c r="E111" s="37" t="s">
        <v>536</v>
      </c>
      <c r="F111" s="37" t="s">
        <v>537</v>
      </c>
      <c r="G111" s="1" t="s">
        <v>375</v>
      </c>
    </row>
    <row r="112">
      <c r="A112" s="37" t="s">
        <v>533</v>
      </c>
      <c r="B112" s="36">
        <v>2019.0</v>
      </c>
      <c r="C112" s="37" t="s">
        <v>538</v>
      </c>
      <c r="D112" s="38" t="s">
        <v>535</v>
      </c>
      <c r="E112" s="37" t="s">
        <v>536</v>
      </c>
      <c r="F112" s="37" t="s">
        <v>537</v>
      </c>
      <c r="G112" s="1" t="s">
        <v>375</v>
      </c>
    </row>
    <row r="113">
      <c r="A113" s="37" t="s">
        <v>533</v>
      </c>
      <c r="B113" s="36">
        <v>2019.0</v>
      </c>
      <c r="C113" s="37" t="s">
        <v>539</v>
      </c>
      <c r="D113" s="38" t="s">
        <v>535</v>
      </c>
      <c r="E113" s="37" t="s">
        <v>536</v>
      </c>
      <c r="F113" s="37" t="s">
        <v>537</v>
      </c>
      <c r="G113" s="1" t="s">
        <v>375</v>
      </c>
    </row>
    <row r="114">
      <c r="A114" s="37" t="s">
        <v>533</v>
      </c>
      <c r="B114" s="36">
        <v>2019.0</v>
      </c>
      <c r="C114" s="37" t="s">
        <v>540</v>
      </c>
      <c r="D114" s="38" t="s">
        <v>535</v>
      </c>
      <c r="E114" s="37" t="s">
        <v>536</v>
      </c>
      <c r="F114" s="37" t="s">
        <v>537</v>
      </c>
      <c r="G114" s="1" t="s">
        <v>375</v>
      </c>
    </row>
    <row r="115">
      <c r="A115" s="37" t="s">
        <v>533</v>
      </c>
      <c r="B115" s="36">
        <v>2019.0</v>
      </c>
      <c r="C115" s="37" t="s">
        <v>541</v>
      </c>
      <c r="D115" s="38" t="s">
        <v>535</v>
      </c>
      <c r="E115" s="37" t="s">
        <v>536</v>
      </c>
      <c r="F115" s="37" t="s">
        <v>537</v>
      </c>
      <c r="G115" s="1" t="s">
        <v>375</v>
      </c>
    </row>
    <row r="116">
      <c r="A116" s="37" t="s">
        <v>542</v>
      </c>
      <c r="B116" s="36">
        <v>2019.0</v>
      </c>
      <c r="C116" s="37" t="s">
        <v>543</v>
      </c>
      <c r="D116" s="38" t="s">
        <v>30</v>
      </c>
      <c r="E116" s="37" t="s">
        <v>379</v>
      </c>
      <c r="F116" s="37" t="s">
        <v>380</v>
      </c>
      <c r="G116" s="1" t="s">
        <v>375</v>
      </c>
    </row>
    <row r="117">
      <c r="A117" s="37" t="s">
        <v>542</v>
      </c>
      <c r="B117" s="36">
        <v>2019.0</v>
      </c>
      <c r="C117" s="37" t="s">
        <v>385</v>
      </c>
      <c r="D117" s="38" t="s">
        <v>30</v>
      </c>
      <c r="E117" s="37" t="s">
        <v>379</v>
      </c>
      <c r="F117" s="37" t="s">
        <v>380</v>
      </c>
      <c r="G117" s="1" t="s">
        <v>375</v>
      </c>
    </row>
    <row r="118">
      <c r="A118" s="37" t="s">
        <v>542</v>
      </c>
      <c r="B118" s="36">
        <v>2019.0</v>
      </c>
      <c r="C118" s="37" t="s">
        <v>544</v>
      </c>
      <c r="D118" s="38" t="s">
        <v>30</v>
      </c>
      <c r="E118" s="37" t="s">
        <v>379</v>
      </c>
      <c r="F118" s="37" t="s">
        <v>380</v>
      </c>
      <c r="G118" s="1" t="s">
        <v>375</v>
      </c>
    </row>
    <row r="119">
      <c r="A119" s="37" t="s">
        <v>545</v>
      </c>
      <c r="B119" s="36">
        <v>2019.0</v>
      </c>
      <c r="C119" s="37" t="s">
        <v>546</v>
      </c>
      <c r="D119" s="38" t="s">
        <v>489</v>
      </c>
      <c r="E119" s="37" t="s">
        <v>389</v>
      </c>
      <c r="F119" s="37" t="s">
        <v>390</v>
      </c>
      <c r="G119" s="1" t="s">
        <v>375</v>
      </c>
    </row>
    <row r="120">
      <c r="A120" s="37" t="s">
        <v>545</v>
      </c>
      <c r="B120" s="36">
        <v>2019.0</v>
      </c>
      <c r="C120" s="37" t="s">
        <v>547</v>
      </c>
      <c r="D120" s="38" t="s">
        <v>489</v>
      </c>
      <c r="E120" s="37" t="s">
        <v>389</v>
      </c>
      <c r="F120" s="37" t="s">
        <v>390</v>
      </c>
      <c r="G120" s="1" t="s">
        <v>375</v>
      </c>
    </row>
    <row r="121">
      <c r="A121" s="37" t="s">
        <v>545</v>
      </c>
      <c r="B121" s="36">
        <v>2019.0</v>
      </c>
      <c r="C121" s="37" t="s">
        <v>548</v>
      </c>
      <c r="D121" s="38" t="s">
        <v>489</v>
      </c>
      <c r="E121" s="37" t="s">
        <v>389</v>
      </c>
      <c r="F121" s="37" t="s">
        <v>390</v>
      </c>
      <c r="G121" s="1" t="s">
        <v>375</v>
      </c>
    </row>
    <row r="122">
      <c r="A122" s="37" t="s">
        <v>545</v>
      </c>
      <c r="B122" s="36">
        <v>2019.0</v>
      </c>
      <c r="C122" s="37" t="s">
        <v>549</v>
      </c>
      <c r="D122" s="38" t="s">
        <v>489</v>
      </c>
      <c r="E122" s="37" t="s">
        <v>389</v>
      </c>
      <c r="F122" s="37" t="s">
        <v>390</v>
      </c>
      <c r="G122" s="1" t="s">
        <v>375</v>
      </c>
    </row>
    <row r="123">
      <c r="A123" s="37" t="s">
        <v>545</v>
      </c>
      <c r="B123" s="36">
        <v>2019.0</v>
      </c>
      <c r="C123" s="37" t="s">
        <v>423</v>
      </c>
      <c r="D123" s="38" t="s">
        <v>418</v>
      </c>
      <c r="E123" s="37" t="s">
        <v>550</v>
      </c>
      <c r="F123" s="37" t="s">
        <v>390</v>
      </c>
      <c r="G123" s="1" t="s">
        <v>375</v>
      </c>
    </row>
    <row r="124">
      <c r="A124" s="37" t="s">
        <v>551</v>
      </c>
      <c r="B124" s="36">
        <v>2019.0</v>
      </c>
      <c r="C124" s="37" t="s">
        <v>552</v>
      </c>
      <c r="D124" s="38" t="s">
        <v>553</v>
      </c>
      <c r="E124" s="37" t="s">
        <v>554</v>
      </c>
      <c r="F124" s="37" t="s">
        <v>555</v>
      </c>
      <c r="G124" s="1" t="s">
        <v>375</v>
      </c>
    </row>
    <row r="125">
      <c r="A125" s="37" t="s">
        <v>551</v>
      </c>
      <c r="B125" s="36">
        <v>2019.0</v>
      </c>
      <c r="C125" s="37" t="s">
        <v>409</v>
      </c>
      <c r="D125" s="38" t="s">
        <v>532</v>
      </c>
      <c r="E125" s="37" t="s">
        <v>410</v>
      </c>
      <c r="F125" s="37" t="s">
        <v>411</v>
      </c>
      <c r="G125" s="1" t="s">
        <v>375</v>
      </c>
    </row>
    <row r="126">
      <c r="A126" s="37" t="s">
        <v>556</v>
      </c>
      <c r="B126" s="36">
        <v>2019.0</v>
      </c>
      <c r="C126" s="37" t="s">
        <v>449</v>
      </c>
      <c r="D126" s="38" t="s">
        <v>36</v>
      </c>
      <c r="E126" s="37" t="s">
        <v>404</v>
      </c>
      <c r="F126" s="37" t="s">
        <v>405</v>
      </c>
      <c r="G126" s="1" t="s">
        <v>375</v>
      </c>
    </row>
    <row r="127">
      <c r="A127" s="37" t="s">
        <v>557</v>
      </c>
      <c r="B127" s="36">
        <v>2019.0</v>
      </c>
      <c r="C127" s="37" t="s">
        <v>558</v>
      </c>
      <c r="D127" s="38" t="s">
        <v>559</v>
      </c>
      <c r="E127" s="37" t="s">
        <v>490</v>
      </c>
      <c r="F127" s="37" t="s">
        <v>390</v>
      </c>
      <c r="G127" s="1" t="s">
        <v>375</v>
      </c>
    </row>
    <row r="128">
      <c r="A128" s="37" t="s">
        <v>557</v>
      </c>
      <c r="B128" s="36">
        <v>2019.0</v>
      </c>
      <c r="C128" s="37" t="s">
        <v>417</v>
      </c>
      <c r="D128" s="38" t="s">
        <v>418</v>
      </c>
      <c r="E128" s="37" t="s">
        <v>550</v>
      </c>
      <c r="F128" s="37" t="s">
        <v>390</v>
      </c>
      <c r="G128" s="1" t="s">
        <v>375</v>
      </c>
    </row>
    <row r="129">
      <c r="A129" s="37" t="s">
        <v>560</v>
      </c>
      <c r="B129" s="36">
        <v>2019.0</v>
      </c>
      <c r="C129" s="37" t="s">
        <v>561</v>
      </c>
      <c r="D129" s="38" t="s">
        <v>562</v>
      </c>
      <c r="E129" s="37" t="s">
        <v>563</v>
      </c>
      <c r="F129" s="37" t="s">
        <v>380</v>
      </c>
      <c r="G129" s="1" t="s">
        <v>375</v>
      </c>
    </row>
    <row r="130">
      <c r="A130" s="37" t="s">
        <v>560</v>
      </c>
      <c r="B130" s="36">
        <v>2019.0</v>
      </c>
      <c r="C130" s="37" t="s">
        <v>494</v>
      </c>
      <c r="D130" s="38" t="s">
        <v>13</v>
      </c>
      <c r="E130" s="37" t="s">
        <v>427</v>
      </c>
      <c r="F130" s="37" t="s">
        <v>428</v>
      </c>
      <c r="G130" s="1" t="s">
        <v>375</v>
      </c>
    </row>
    <row r="131">
      <c r="A131" s="37" t="s">
        <v>564</v>
      </c>
      <c r="B131" s="36">
        <v>2019.0</v>
      </c>
      <c r="C131" s="37" t="s">
        <v>565</v>
      </c>
      <c r="D131" s="38" t="s">
        <v>489</v>
      </c>
      <c r="E131" s="37" t="s">
        <v>490</v>
      </c>
      <c r="F131" s="37" t="s">
        <v>390</v>
      </c>
      <c r="G131" s="1" t="s">
        <v>375</v>
      </c>
    </row>
    <row r="132">
      <c r="A132" s="37" t="s">
        <v>564</v>
      </c>
      <c r="B132" s="36">
        <v>2019.0</v>
      </c>
      <c r="C132" s="37" t="s">
        <v>566</v>
      </c>
      <c r="D132" s="38" t="s">
        <v>489</v>
      </c>
      <c r="E132" s="37" t="s">
        <v>490</v>
      </c>
      <c r="F132" s="37" t="s">
        <v>390</v>
      </c>
      <c r="G132" s="1" t="s">
        <v>375</v>
      </c>
    </row>
    <row r="133">
      <c r="A133" s="37" t="s">
        <v>564</v>
      </c>
      <c r="B133" s="36">
        <v>2019.0</v>
      </c>
      <c r="C133" s="37" t="s">
        <v>567</v>
      </c>
      <c r="D133" s="38" t="s">
        <v>489</v>
      </c>
      <c r="E133" s="37" t="s">
        <v>490</v>
      </c>
      <c r="F133" s="37" t="s">
        <v>390</v>
      </c>
      <c r="G133" s="1" t="s">
        <v>375</v>
      </c>
    </row>
    <row r="134">
      <c r="A134" s="37" t="s">
        <v>564</v>
      </c>
      <c r="B134" s="36">
        <v>2019.0</v>
      </c>
      <c r="C134" s="37" t="s">
        <v>417</v>
      </c>
      <c r="D134" s="38" t="s">
        <v>489</v>
      </c>
      <c r="E134" s="37" t="s">
        <v>490</v>
      </c>
      <c r="F134" s="37" t="s">
        <v>390</v>
      </c>
      <c r="G134" s="1" t="s">
        <v>375</v>
      </c>
    </row>
    <row r="135">
      <c r="A135" s="37" t="s">
        <v>564</v>
      </c>
      <c r="B135" s="36">
        <v>2019.0</v>
      </c>
      <c r="C135" s="37" t="s">
        <v>549</v>
      </c>
      <c r="D135" s="38" t="s">
        <v>489</v>
      </c>
      <c r="E135" s="37" t="s">
        <v>490</v>
      </c>
      <c r="F135" s="37" t="s">
        <v>390</v>
      </c>
      <c r="G135" s="1" t="s">
        <v>375</v>
      </c>
    </row>
    <row r="136">
      <c r="A136" s="37" t="s">
        <v>564</v>
      </c>
      <c r="B136" s="36">
        <v>2019.0</v>
      </c>
      <c r="C136" s="37" t="s">
        <v>568</v>
      </c>
      <c r="D136" s="38" t="s">
        <v>489</v>
      </c>
      <c r="E136" s="37" t="s">
        <v>490</v>
      </c>
      <c r="F136" s="37" t="s">
        <v>390</v>
      </c>
      <c r="G136" s="1" t="s">
        <v>375</v>
      </c>
    </row>
    <row r="137">
      <c r="A137" s="37" t="s">
        <v>569</v>
      </c>
      <c r="B137" s="36">
        <v>2019.0</v>
      </c>
      <c r="C137" s="37" t="s">
        <v>570</v>
      </c>
      <c r="D137" s="38" t="s">
        <v>418</v>
      </c>
      <c r="E137" s="37" t="s">
        <v>550</v>
      </c>
      <c r="F137" s="37" t="s">
        <v>390</v>
      </c>
      <c r="G137" s="1" t="s">
        <v>375</v>
      </c>
    </row>
    <row r="138">
      <c r="A138" s="37" t="s">
        <v>569</v>
      </c>
      <c r="B138" s="36">
        <v>2019.0</v>
      </c>
      <c r="C138" s="37" t="s">
        <v>423</v>
      </c>
      <c r="D138" s="38" t="s">
        <v>418</v>
      </c>
      <c r="E138" s="37" t="s">
        <v>550</v>
      </c>
      <c r="F138" s="37" t="s">
        <v>390</v>
      </c>
      <c r="G138" s="1" t="s">
        <v>375</v>
      </c>
    </row>
    <row r="139">
      <c r="A139" s="37" t="s">
        <v>571</v>
      </c>
      <c r="B139" s="36">
        <v>2019.0</v>
      </c>
      <c r="C139" s="37" t="s">
        <v>572</v>
      </c>
      <c r="D139" s="38" t="s">
        <v>532</v>
      </c>
      <c r="E139" s="37" t="s">
        <v>410</v>
      </c>
      <c r="F139" s="37" t="s">
        <v>411</v>
      </c>
      <c r="G139" s="1" t="s">
        <v>375</v>
      </c>
    </row>
    <row r="140">
      <c r="A140" s="37" t="s">
        <v>571</v>
      </c>
      <c r="B140" s="36">
        <v>2019.0</v>
      </c>
      <c r="C140" s="37" t="s">
        <v>409</v>
      </c>
      <c r="D140" s="38" t="s">
        <v>532</v>
      </c>
      <c r="E140" s="37" t="s">
        <v>410</v>
      </c>
      <c r="F140" s="37" t="s">
        <v>411</v>
      </c>
      <c r="G140" s="1" t="s">
        <v>375</v>
      </c>
    </row>
    <row r="141">
      <c r="A141" s="37" t="s">
        <v>573</v>
      </c>
      <c r="B141" s="36">
        <v>2019.0</v>
      </c>
      <c r="C141" s="37" t="s">
        <v>574</v>
      </c>
      <c r="D141" s="38" t="s">
        <v>19</v>
      </c>
      <c r="E141" s="37" t="s">
        <v>410</v>
      </c>
      <c r="F141" s="37" t="s">
        <v>411</v>
      </c>
      <c r="G141" s="1" t="s">
        <v>375</v>
      </c>
    </row>
    <row r="142">
      <c r="A142" s="37" t="s">
        <v>573</v>
      </c>
      <c r="B142" s="36">
        <v>2019.0</v>
      </c>
      <c r="C142" s="37" t="s">
        <v>575</v>
      </c>
      <c r="D142" s="38" t="s">
        <v>19</v>
      </c>
      <c r="E142" s="37" t="s">
        <v>410</v>
      </c>
      <c r="F142" s="37" t="s">
        <v>411</v>
      </c>
      <c r="G142" s="1" t="s">
        <v>375</v>
      </c>
    </row>
    <row r="143">
      <c r="A143" s="37" t="s">
        <v>573</v>
      </c>
      <c r="B143" s="36">
        <v>2019.0</v>
      </c>
      <c r="C143" s="37" t="s">
        <v>576</v>
      </c>
      <c r="D143" s="38" t="s">
        <v>19</v>
      </c>
      <c r="E143" s="37" t="s">
        <v>410</v>
      </c>
      <c r="F143" s="37" t="s">
        <v>411</v>
      </c>
      <c r="G143" s="1" t="s">
        <v>375</v>
      </c>
    </row>
    <row r="144">
      <c r="A144" s="37" t="s">
        <v>577</v>
      </c>
      <c r="B144" s="36">
        <v>2019.0</v>
      </c>
      <c r="C144" s="37" t="s">
        <v>578</v>
      </c>
      <c r="D144" s="38" t="s">
        <v>579</v>
      </c>
      <c r="E144" s="37" t="s">
        <v>580</v>
      </c>
      <c r="F144" s="37" t="s">
        <v>395</v>
      </c>
      <c r="G144" s="1" t="s">
        <v>375</v>
      </c>
    </row>
    <row r="145">
      <c r="A145" s="37" t="s">
        <v>577</v>
      </c>
      <c r="B145" s="36">
        <v>2019.0</v>
      </c>
      <c r="C145" s="37" t="s">
        <v>581</v>
      </c>
      <c r="D145" s="38" t="s">
        <v>579</v>
      </c>
      <c r="E145" s="37" t="s">
        <v>580</v>
      </c>
      <c r="F145" s="37" t="s">
        <v>395</v>
      </c>
      <c r="G145" s="1" t="s">
        <v>375</v>
      </c>
    </row>
    <row r="146">
      <c r="A146" s="37" t="s">
        <v>577</v>
      </c>
      <c r="B146" s="36">
        <v>2019.0</v>
      </c>
      <c r="C146" s="37" t="s">
        <v>582</v>
      </c>
      <c r="D146" s="38" t="s">
        <v>579</v>
      </c>
      <c r="E146" s="37" t="s">
        <v>580</v>
      </c>
      <c r="F146" s="37" t="s">
        <v>395</v>
      </c>
      <c r="G146" s="1" t="s">
        <v>375</v>
      </c>
    </row>
    <row r="147">
      <c r="A147" s="37" t="s">
        <v>577</v>
      </c>
      <c r="B147" s="36">
        <v>2019.0</v>
      </c>
      <c r="C147" s="37" t="s">
        <v>583</v>
      </c>
      <c r="D147" s="38" t="s">
        <v>579</v>
      </c>
      <c r="E147" s="37" t="s">
        <v>580</v>
      </c>
      <c r="F147" s="37" t="s">
        <v>395</v>
      </c>
      <c r="G147" s="1" t="s">
        <v>375</v>
      </c>
    </row>
    <row r="148">
      <c r="A148" s="37" t="s">
        <v>577</v>
      </c>
      <c r="B148" s="36">
        <v>2019.0</v>
      </c>
      <c r="C148" s="37" t="s">
        <v>584</v>
      </c>
      <c r="D148" s="38" t="s">
        <v>579</v>
      </c>
      <c r="E148" s="37" t="s">
        <v>580</v>
      </c>
      <c r="F148" s="37" t="s">
        <v>395</v>
      </c>
      <c r="G148" s="1" t="s">
        <v>375</v>
      </c>
    </row>
    <row r="149">
      <c r="A149" s="37" t="s">
        <v>585</v>
      </c>
      <c r="B149" s="36">
        <v>2019.0</v>
      </c>
      <c r="C149" s="37" t="s">
        <v>586</v>
      </c>
      <c r="D149" s="38" t="s">
        <v>532</v>
      </c>
      <c r="E149" s="37" t="s">
        <v>410</v>
      </c>
      <c r="F149" s="37" t="s">
        <v>411</v>
      </c>
      <c r="G149" s="1" t="s">
        <v>375</v>
      </c>
    </row>
    <row r="150">
      <c r="A150" s="37" t="s">
        <v>585</v>
      </c>
      <c r="B150" s="36">
        <v>2019.0</v>
      </c>
      <c r="C150" s="37" t="s">
        <v>507</v>
      </c>
      <c r="D150" s="38" t="s">
        <v>587</v>
      </c>
      <c r="E150" s="37" t="s">
        <v>509</v>
      </c>
      <c r="F150" s="37" t="s">
        <v>390</v>
      </c>
      <c r="G150" s="1" t="s">
        <v>375</v>
      </c>
    </row>
    <row r="151">
      <c r="A151" s="37" t="s">
        <v>588</v>
      </c>
      <c r="B151" s="36">
        <v>2019.0</v>
      </c>
      <c r="C151" s="37" t="s">
        <v>589</v>
      </c>
      <c r="D151" s="38" t="s">
        <v>434</v>
      </c>
      <c r="E151" s="37" t="s">
        <v>379</v>
      </c>
      <c r="F151" s="37" t="s">
        <v>380</v>
      </c>
      <c r="G151" s="1" t="s">
        <v>375</v>
      </c>
    </row>
    <row r="152">
      <c r="A152" s="37" t="s">
        <v>588</v>
      </c>
      <c r="B152" s="36">
        <v>2019.0</v>
      </c>
      <c r="C152" s="37" t="s">
        <v>590</v>
      </c>
      <c r="D152" s="38" t="s">
        <v>591</v>
      </c>
      <c r="E152" s="37" t="s">
        <v>379</v>
      </c>
      <c r="F152" s="37" t="s">
        <v>380</v>
      </c>
      <c r="G152" s="1" t="s">
        <v>375</v>
      </c>
    </row>
    <row r="153">
      <c r="A153" s="37" t="s">
        <v>588</v>
      </c>
      <c r="B153" s="36">
        <v>2019.0</v>
      </c>
      <c r="C153" s="37" t="s">
        <v>592</v>
      </c>
      <c r="D153" s="38" t="s">
        <v>434</v>
      </c>
      <c r="E153" s="37" t="s">
        <v>379</v>
      </c>
      <c r="F153" s="37" t="s">
        <v>380</v>
      </c>
      <c r="G153" s="1" t="s">
        <v>375</v>
      </c>
    </row>
    <row r="154">
      <c r="A154" s="37" t="s">
        <v>593</v>
      </c>
      <c r="B154" s="36">
        <v>2019.0</v>
      </c>
      <c r="C154" s="37" t="s">
        <v>594</v>
      </c>
      <c r="D154" s="38" t="s">
        <v>13</v>
      </c>
      <c r="E154" s="37" t="s">
        <v>427</v>
      </c>
      <c r="F154" s="37" t="s">
        <v>428</v>
      </c>
      <c r="G154" s="1" t="s">
        <v>375</v>
      </c>
    </row>
    <row r="155">
      <c r="A155" s="37" t="s">
        <v>593</v>
      </c>
      <c r="B155" s="36">
        <v>2019.0</v>
      </c>
      <c r="C155" s="37" t="s">
        <v>595</v>
      </c>
      <c r="D155" s="38" t="s">
        <v>13</v>
      </c>
      <c r="E155" s="37" t="s">
        <v>427</v>
      </c>
      <c r="F155" s="37" t="s">
        <v>428</v>
      </c>
      <c r="G155" s="1" t="s">
        <v>375</v>
      </c>
    </row>
    <row r="156">
      <c r="A156" s="37" t="s">
        <v>593</v>
      </c>
      <c r="B156" s="36">
        <v>2019.0</v>
      </c>
      <c r="C156" s="37" t="s">
        <v>596</v>
      </c>
      <c r="D156" s="38" t="s">
        <v>13</v>
      </c>
      <c r="E156" s="37" t="s">
        <v>427</v>
      </c>
      <c r="F156" s="37" t="s">
        <v>428</v>
      </c>
      <c r="G156" s="1" t="s">
        <v>375</v>
      </c>
    </row>
    <row r="157">
      <c r="A157" s="37" t="s">
        <v>597</v>
      </c>
      <c r="B157" s="36">
        <v>2019.0</v>
      </c>
      <c r="C157" s="37" t="s">
        <v>544</v>
      </c>
      <c r="D157" s="38" t="s">
        <v>30</v>
      </c>
      <c r="E157" s="37" t="s">
        <v>379</v>
      </c>
      <c r="F157" s="37" t="s">
        <v>380</v>
      </c>
      <c r="G157" s="1" t="s">
        <v>375</v>
      </c>
    </row>
    <row r="158">
      <c r="A158" s="37" t="s">
        <v>597</v>
      </c>
      <c r="B158" s="36">
        <v>2019.0</v>
      </c>
      <c r="C158" s="37" t="s">
        <v>385</v>
      </c>
      <c r="D158" s="38" t="s">
        <v>30</v>
      </c>
      <c r="E158" s="37" t="s">
        <v>379</v>
      </c>
      <c r="F158" s="37" t="s">
        <v>380</v>
      </c>
      <c r="G158" s="1" t="s">
        <v>375</v>
      </c>
    </row>
    <row r="159">
      <c r="A159" s="37" t="s">
        <v>597</v>
      </c>
      <c r="B159" s="36">
        <v>2019.0</v>
      </c>
      <c r="C159" s="37" t="s">
        <v>543</v>
      </c>
      <c r="D159" s="38" t="s">
        <v>30</v>
      </c>
      <c r="E159" s="37" t="s">
        <v>379</v>
      </c>
      <c r="F159" s="37" t="s">
        <v>380</v>
      </c>
      <c r="G159" s="1" t="s">
        <v>375</v>
      </c>
    </row>
    <row r="160">
      <c r="A160" s="37" t="s">
        <v>598</v>
      </c>
      <c r="B160" s="36">
        <v>2019.0</v>
      </c>
      <c r="C160" s="37" t="s">
        <v>440</v>
      </c>
      <c r="D160" s="38" t="s">
        <v>599</v>
      </c>
      <c r="E160" s="37" t="s">
        <v>600</v>
      </c>
      <c r="F160" s="37" t="s">
        <v>601</v>
      </c>
      <c r="G160" s="1" t="s">
        <v>375</v>
      </c>
    </row>
    <row r="161">
      <c r="A161" s="37" t="s">
        <v>598</v>
      </c>
      <c r="B161" s="36">
        <v>2019.0</v>
      </c>
      <c r="C161" s="37" t="s">
        <v>602</v>
      </c>
      <c r="D161" s="38" t="s">
        <v>599</v>
      </c>
      <c r="E161" s="37" t="s">
        <v>600</v>
      </c>
      <c r="F161" s="37" t="s">
        <v>601</v>
      </c>
      <c r="G161" s="1" t="s">
        <v>375</v>
      </c>
    </row>
    <row r="162">
      <c r="A162" s="37" t="s">
        <v>598</v>
      </c>
      <c r="B162" s="36">
        <v>2019.0</v>
      </c>
      <c r="C162" s="37" t="s">
        <v>576</v>
      </c>
      <c r="D162" s="38" t="s">
        <v>19</v>
      </c>
      <c r="E162" s="37" t="s">
        <v>600</v>
      </c>
      <c r="F162" s="37" t="s">
        <v>601</v>
      </c>
      <c r="G162" s="1" t="s">
        <v>375</v>
      </c>
    </row>
    <row r="163">
      <c r="A163" s="37" t="s">
        <v>603</v>
      </c>
      <c r="B163" s="36">
        <v>2019.0</v>
      </c>
      <c r="C163" s="37" t="s">
        <v>604</v>
      </c>
      <c r="D163" s="38" t="s">
        <v>13</v>
      </c>
      <c r="E163" s="37" t="s">
        <v>427</v>
      </c>
      <c r="F163" s="37" t="s">
        <v>428</v>
      </c>
      <c r="G163" s="1" t="s">
        <v>375</v>
      </c>
    </row>
    <row r="164">
      <c r="A164" s="37" t="s">
        <v>603</v>
      </c>
      <c r="B164" s="36">
        <v>2019.0</v>
      </c>
      <c r="C164" s="37" t="s">
        <v>605</v>
      </c>
      <c r="D164" s="38" t="s">
        <v>13</v>
      </c>
      <c r="E164" s="37" t="s">
        <v>427</v>
      </c>
      <c r="F164" s="37" t="s">
        <v>428</v>
      </c>
      <c r="G164" s="1" t="s">
        <v>375</v>
      </c>
    </row>
    <row r="165">
      <c r="A165" s="37" t="s">
        <v>603</v>
      </c>
      <c r="B165" s="36">
        <v>2019.0</v>
      </c>
      <c r="C165" s="37" t="s">
        <v>606</v>
      </c>
      <c r="D165" s="38" t="s">
        <v>13</v>
      </c>
      <c r="E165" s="37" t="s">
        <v>427</v>
      </c>
      <c r="F165" s="37" t="s">
        <v>428</v>
      </c>
      <c r="G165" s="1" t="s">
        <v>375</v>
      </c>
    </row>
    <row r="166">
      <c r="A166" s="37" t="s">
        <v>607</v>
      </c>
      <c r="B166" s="36">
        <v>2019.0</v>
      </c>
      <c r="C166" s="37" t="s">
        <v>500</v>
      </c>
      <c r="D166" s="38" t="s">
        <v>434</v>
      </c>
      <c r="E166" s="37" t="s">
        <v>379</v>
      </c>
      <c r="F166" s="37" t="s">
        <v>380</v>
      </c>
      <c r="G166" s="1" t="s">
        <v>375</v>
      </c>
    </row>
    <row r="167">
      <c r="A167" s="37" t="s">
        <v>607</v>
      </c>
      <c r="B167" s="36">
        <v>2019.0</v>
      </c>
      <c r="C167" s="37" t="s">
        <v>499</v>
      </c>
      <c r="D167" s="38" t="s">
        <v>608</v>
      </c>
      <c r="E167" s="37" t="s">
        <v>609</v>
      </c>
      <c r="F167" s="37" t="s">
        <v>380</v>
      </c>
      <c r="G167" s="1" t="s">
        <v>375</v>
      </c>
    </row>
    <row r="168">
      <c r="A168" s="37" t="s">
        <v>610</v>
      </c>
      <c r="B168" s="36">
        <v>2019.0</v>
      </c>
      <c r="C168" s="37" t="s">
        <v>611</v>
      </c>
      <c r="D168" s="38" t="s">
        <v>489</v>
      </c>
      <c r="E168" s="37" t="s">
        <v>490</v>
      </c>
      <c r="F168" s="37" t="s">
        <v>390</v>
      </c>
      <c r="G168" s="1" t="s">
        <v>375</v>
      </c>
    </row>
    <row r="169">
      <c r="A169" s="37" t="s">
        <v>610</v>
      </c>
      <c r="B169" s="36">
        <v>2019.0</v>
      </c>
      <c r="C169" s="37" t="s">
        <v>549</v>
      </c>
      <c r="D169" s="38" t="s">
        <v>489</v>
      </c>
      <c r="E169" s="37" t="s">
        <v>490</v>
      </c>
      <c r="F169" s="37" t="s">
        <v>390</v>
      </c>
      <c r="G169" s="1" t="s">
        <v>375</v>
      </c>
    </row>
    <row r="170">
      <c r="A170" s="37" t="s">
        <v>612</v>
      </c>
      <c r="B170" s="36">
        <v>2017.0</v>
      </c>
      <c r="C170" s="37" t="s">
        <v>582</v>
      </c>
      <c r="D170" s="38" t="s">
        <v>579</v>
      </c>
      <c r="E170" s="37" t="s">
        <v>580</v>
      </c>
      <c r="F170" s="37" t="s">
        <v>395</v>
      </c>
      <c r="G170" s="1" t="s">
        <v>375</v>
      </c>
    </row>
    <row r="171">
      <c r="A171" s="37" t="s">
        <v>612</v>
      </c>
      <c r="B171" s="36">
        <v>2017.0</v>
      </c>
      <c r="C171" s="37" t="s">
        <v>613</v>
      </c>
      <c r="D171" s="38" t="s">
        <v>579</v>
      </c>
      <c r="E171" s="37" t="s">
        <v>580</v>
      </c>
      <c r="F171" s="37" t="s">
        <v>395</v>
      </c>
      <c r="G171" s="1" t="s">
        <v>375</v>
      </c>
    </row>
    <row r="172">
      <c r="A172" s="37" t="s">
        <v>612</v>
      </c>
      <c r="B172" s="36">
        <v>2017.0</v>
      </c>
      <c r="C172" s="37" t="s">
        <v>614</v>
      </c>
      <c r="D172" s="38" t="s">
        <v>579</v>
      </c>
      <c r="E172" s="37" t="s">
        <v>580</v>
      </c>
      <c r="F172" s="37" t="s">
        <v>395</v>
      </c>
      <c r="G172" s="1" t="s">
        <v>375</v>
      </c>
    </row>
    <row r="173">
      <c r="A173" s="37" t="s">
        <v>615</v>
      </c>
      <c r="B173" s="36">
        <v>2017.0</v>
      </c>
      <c r="C173" s="37" t="s">
        <v>616</v>
      </c>
      <c r="D173" s="38" t="s">
        <v>431</v>
      </c>
      <c r="E173" s="37" t="s">
        <v>410</v>
      </c>
      <c r="F173" s="37" t="s">
        <v>411</v>
      </c>
      <c r="G173" s="1" t="s">
        <v>375</v>
      </c>
    </row>
    <row r="174">
      <c r="A174" s="37" t="s">
        <v>615</v>
      </c>
      <c r="B174" s="36">
        <v>2017.0</v>
      </c>
      <c r="C174" s="37" t="s">
        <v>617</v>
      </c>
      <c r="D174" s="38" t="s">
        <v>431</v>
      </c>
      <c r="E174" s="37" t="s">
        <v>410</v>
      </c>
      <c r="F174" s="37" t="s">
        <v>411</v>
      </c>
      <c r="G174" s="1" t="s">
        <v>375</v>
      </c>
    </row>
    <row r="175">
      <c r="A175" s="37" t="s">
        <v>615</v>
      </c>
      <c r="B175" s="36">
        <v>2017.0</v>
      </c>
      <c r="C175" s="37" t="s">
        <v>618</v>
      </c>
      <c r="D175" s="38" t="s">
        <v>431</v>
      </c>
      <c r="E175" s="37" t="s">
        <v>410</v>
      </c>
      <c r="F175" s="37" t="s">
        <v>411</v>
      </c>
      <c r="G175" s="1" t="s">
        <v>375</v>
      </c>
    </row>
    <row r="176">
      <c r="A176" s="37" t="s">
        <v>615</v>
      </c>
      <c r="B176" s="36">
        <v>2017.0</v>
      </c>
      <c r="C176" s="37" t="s">
        <v>439</v>
      </c>
      <c r="D176" s="38" t="s">
        <v>431</v>
      </c>
      <c r="E176" s="37" t="s">
        <v>410</v>
      </c>
      <c r="F176" s="37" t="s">
        <v>411</v>
      </c>
      <c r="G176" s="1" t="s">
        <v>375</v>
      </c>
    </row>
    <row r="177">
      <c r="A177" s="37" t="s">
        <v>619</v>
      </c>
      <c r="B177" s="36">
        <v>2017.0</v>
      </c>
      <c r="C177" s="37" t="s">
        <v>620</v>
      </c>
      <c r="D177" s="38" t="s">
        <v>13</v>
      </c>
      <c r="E177" s="37" t="s">
        <v>427</v>
      </c>
      <c r="F177" s="37" t="s">
        <v>428</v>
      </c>
      <c r="G177" s="1" t="s">
        <v>375</v>
      </c>
    </row>
    <row r="178">
      <c r="A178" s="37" t="s">
        <v>619</v>
      </c>
      <c r="B178" s="36">
        <v>2017.0</v>
      </c>
      <c r="C178" s="37" t="s">
        <v>621</v>
      </c>
      <c r="D178" s="38" t="s">
        <v>13</v>
      </c>
      <c r="E178" s="37" t="s">
        <v>427</v>
      </c>
      <c r="F178" s="37" t="s">
        <v>428</v>
      </c>
      <c r="G178" s="1" t="s">
        <v>375</v>
      </c>
    </row>
    <row r="179">
      <c r="A179" s="37" t="s">
        <v>619</v>
      </c>
      <c r="B179" s="36">
        <v>2017.0</v>
      </c>
      <c r="C179" s="37" t="s">
        <v>622</v>
      </c>
      <c r="D179" s="38" t="s">
        <v>13</v>
      </c>
      <c r="E179" s="37" t="s">
        <v>427</v>
      </c>
      <c r="F179" s="37" t="s">
        <v>428</v>
      </c>
      <c r="G179" s="1" t="s">
        <v>375</v>
      </c>
    </row>
    <row r="180">
      <c r="A180" s="37" t="s">
        <v>623</v>
      </c>
      <c r="B180" s="36">
        <v>2017.0</v>
      </c>
      <c r="C180" s="37" t="s">
        <v>621</v>
      </c>
      <c r="D180" s="38" t="s">
        <v>13</v>
      </c>
      <c r="E180" s="37" t="s">
        <v>427</v>
      </c>
      <c r="F180" s="37" t="s">
        <v>428</v>
      </c>
      <c r="G180" s="1" t="s">
        <v>375</v>
      </c>
    </row>
    <row r="181">
      <c r="A181" s="37" t="s">
        <v>623</v>
      </c>
      <c r="B181" s="36">
        <v>2017.0</v>
      </c>
      <c r="C181" s="37" t="s">
        <v>620</v>
      </c>
      <c r="D181" s="38" t="s">
        <v>13</v>
      </c>
      <c r="E181" s="37" t="s">
        <v>427</v>
      </c>
      <c r="F181" s="37" t="s">
        <v>428</v>
      </c>
      <c r="G181" s="1" t="s">
        <v>375</v>
      </c>
    </row>
    <row r="182">
      <c r="A182" s="37" t="s">
        <v>623</v>
      </c>
      <c r="B182" s="36">
        <v>2017.0</v>
      </c>
      <c r="C182" s="37" t="s">
        <v>624</v>
      </c>
      <c r="D182" s="38" t="s">
        <v>13</v>
      </c>
      <c r="E182" s="37" t="s">
        <v>427</v>
      </c>
      <c r="F182" s="37" t="s">
        <v>428</v>
      </c>
      <c r="G182" s="1" t="s">
        <v>375</v>
      </c>
    </row>
    <row r="183">
      <c r="A183" s="37" t="s">
        <v>625</v>
      </c>
      <c r="B183" s="36">
        <v>2017.0</v>
      </c>
      <c r="C183" s="37" t="s">
        <v>626</v>
      </c>
      <c r="D183" s="38" t="s">
        <v>489</v>
      </c>
      <c r="E183" s="37" t="s">
        <v>490</v>
      </c>
      <c r="F183" s="37" t="s">
        <v>390</v>
      </c>
      <c r="G183" s="1" t="s">
        <v>375</v>
      </c>
    </row>
    <row r="184">
      <c r="A184" s="37" t="s">
        <v>625</v>
      </c>
      <c r="B184" s="36">
        <v>2017.0</v>
      </c>
      <c r="C184" s="37" t="s">
        <v>627</v>
      </c>
      <c r="D184" s="38" t="s">
        <v>489</v>
      </c>
      <c r="E184" s="37" t="s">
        <v>490</v>
      </c>
      <c r="F184" s="37" t="s">
        <v>390</v>
      </c>
      <c r="G184" s="1" t="s">
        <v>375</v>
      </c>
    </row>
    <row r="185">
      <c r="A185" s="37" t="s">
        <v>625</v>
      </c>
      <c r="B185" s="36">
        <v>2017.0</v>
      </c>
      <c r="C185" s="37" t="s">
        <v>628</v>
      </c>
      <c r="D185" s="38" t="s">
        <v>489</v>
      </c>
      <c r="E185" s="37" t="s">
        <v>490</v>
      </c>
      <c r="F185" s="37" t="s">
        <v>390</v>
      </c>
      <c r="G185" s="1" t="s">
        <v>375</v>
      </c>
    </row>
    <row r="186">
      <c r="A186" s="37" t="s">
        <v>625</v>
      </c>
      <c r="B186" s="36">
        <v>2017.0</v>
      </c>
      <c r="C186" s="37" t="s">
        <v>629</v>
      </c>
      <c r="D186" s="38" t="s">
        <v>489</v>
      </c>
      <c r="E186" s="37" t="s">
        <v>490</v>
      </c>
      <c r="F186" s="37" t="s">
        <v>390</v>
      </c>
      <c r="G186" s="1" t="s">
        <v>375</v>
      </c>
    </row>
    <row r="187">
      <c r="A187" s="37" t="s">
        <v>625</v>
      </c>
      <c r="B187" s="36">
        <v>2017.0</v>
      </c>
      <c r="C187" s="37" t="s">
        <v>630</v>
      </c>
      <c r="D187" s="38" t="s">
        <v>489</v>
      </c>
      <c r="E187" s="37" t="s">
        <v>490</v>
      </c>
      <c r="F187" s="37" t="s">
        <v>390</v>
      </c>
      <c r="G187" s="1" t="s">
        <v>375</v>
      </c>
    </row>
    <row r="188">
      <c r="A188" s="37" t="s">
        <v>631</v>
      </c>
      <c r="B188" s="36">
        <v>2017.0</v>
      </c>
      <c r="C188" s="37" t="s">
        <v>632</v>
      </c>
      <c r="D188" s="38" t="s">
        <v>13</v>
      </c>
      <c r="E188" s="37" t="s">
        <v>427</v>
      </c>
      <c r="F188" s="37" t="s">
        <v>428</v>
      </c>
      <c r="G188" s="1" t="s">
        <v>375</v>
      </c>
    </row>
    <row r="189">
      <c r="A189" s="37" t="s">
        <v>631</v>
      </c>
      <c r="B189" s="36">
        <v>2017.0</v>
      </c>
      <c r="C189" s="37" t="s">
        <v>456</v>
      </c>
      <c r="D189" s="38" t="s">
        <v>13</v>
      </c>
      <c r="E189" s="37" t="s">
        <v>427</v>
      </c>
      <c r="F189" s="37" t="s">
        <v>428</v>
      </c>
      <c r="G189" s="1" t="s">
        <v>375</v>
      </c>
    </row>
    <row r="190">
      <c r="A190" s="37" t="s">
        <v>631</v>
      </c>
      <c r="B190" s="36">
        <v>2017.0</v>
      </c>
      <c r="C190" s="37" t="s">
        <v>595</v>
      </c>
      <c r="D190" s="38" t="s">
        <v>13</v>
      </c>
      <c r="E190" s="37" t="s">
        <v>427</v>
      </c>
      <c r="F190" s="37" t="s">
        <v>428</v>
      </c>
      <c r="G190" s="1" t="s">
        <v>375</v>
      </c>
    </row>
    <row r="191">
      <c r="A191" s="37" t="s">
        <v>633</v>
      </c>
      <c r="B191" s="36">
        <v>2017.0</v>
      </c>
      <c r="C191" s="37" t="s">
        <v>634</v>
      </c>
      <c r="D191" s="38" t="s">
        <v>635</v>
      </c>
      <c r="E191" s="37" t="s">
        <v>636</v>
      </c>
      <c r="F191" s="37" t="s">
        <v>637</v>
      </c>
      <c r="G191" s="1" t="s">
        <v>375</v>
      </c>
    </row>
    <row r="192">
      <c r="A192" s="37" t="s">
        <v>633</v>
      </c>
      <c r="B192" s="36">
        <v>2017.0</v>
      </c>
      <c r="C192" s="37" t="s">
        <v>638</v>
      </c>
      <c r="D192" s="38" t="s">
        <v>635</v>
      </c>
      <c r="E192" s="37" t="s">
        <v>636</v>
      </c>
      <c r="F192" s="37" t="s">
        <v>637</v>
      </c>
      <c r="G192" s="1" t="s">
        <v>375</v>
      </c>
    </row>
    <row r="193">
      <c r="A193" s="37" t="s">
        <v>633</v>
      </c>
      <c r="B193" s="36">
        <v>2017.0</v>
      </c>
      <c r="C193" s="37" t="s">
        <v>639</v>
      </c>
      <c r="D193" s="38" t="s">
        <v>635</v>
      </c>
      <c r="E193" s="37" t="s">
        <v>636</v>
      </c>
      <c r="F193" s="37" t="s">
        <v>637</v>
      </c>
      <c r="G193" s="1" t="s">
        <v>375</v>
      </c>
    </row>
    <row r="194">
      <c r="A194" s="37" t="s">
        <v>640</v>
      </c>
      <c r="B194" s="36">
        <v>2017.0</v>
      </c>
      <c r="C194" s="37" t="s">
        <v>641</v>
      </c>
      <c r="D194" s="38" t="s">
        <v>642</v>
      </c>
      <c r="E194" s="37" t="s">
        <v>490</v>
      </c>
      <c r="F194" s="37" t="s">
        <v>390</v>
      </c>
      <c r="G194" s="1" t="s">
        <v>375</v>
      </c>
    </row>
    <row r="195">
      <c r="A195" s="37" t="s">
        <v>640</v>
      </c>
      <c r="B195" s="36">
        <v>2017.0</v>
      </c>
      <c r="C195" s="37" t="s">
        <v>643</v>
      </c>
      <c r="D195" s="38" t="s">
        <v>642</v>
      </c>
      <c r="E195" s="37" t="s">
        <v>490</v>
      </c>
      <c r="F195" s="37" t="s">
        <v>390</v>
      </c>
      <c r="G195" s="1" t="s">
        <v>375</v>
      </c>
    </row>
    <row r="196">
      <c r="A196" s="37" t="s">
        <v>640</v>
      </c>
      <c r="B196" s="36">
        <v>2017.0</v>
      </c>
      <c r="C196" s="37" t="s">
        <v>644</v>
      </c>
      <c r="D196" s="38" t="s">
        <v>642</v>
      </c>
      <c r="E196" s="37" t="s">
        <v>490</v>
      </c>
      <c r="F196" s="37" t="s">
        <v>390</v>
      </c>
      <c r="G196" s="1" t="s">
        <v>375</v>
      </c>
    </row>
    <row r="197">
      <c r="A197" s="37" t="s">
        <v>640</v>
      </c>
      <c r="B197" s="36">
        <v>2017.0</v>
      </c>
      <c r="C197" s="37" t="s">
        <v>645</v>
      </c>
      <c r="D197" s="38" t="s">
        <v>431</v>
      </c>
      <c r="E197" s="37" t="s">
        <v>410</v>
      </c>
      <c r="F197" s="37" t="s">
        <v>411</v>
      </c>
      <c r="G197" s="1" t="s">
        <v>375</v>
      </c>
    </row>
    <row r="198">
      <c r="A198" s="37" t="s">
        <v>640</v>
      </c>
      <c r="B198" s="36">
        <v>2017.0</v>
      </c>
      <c r="C198" s="37" t="s">
        <v>549</v>
      </c>
      <c r="D198" s="38" t="s">
        <v>642</v>
      </c>
      <c r="E198" s="37" t="s">
        <v>490</v>
      </c>
      <c r="F198" s="37" t="s">
        <v>390</v>
      </c>
      <c r="G198" s="1" t="s">
        <v>375</v>
      </c>
    </row>
    <row r="199">
      <c r="A199" s="37" t="s">
        <v>646</v>
      </c>
      <c r="B199" s="36">
        <v>2017.0</v>
      </c>
      <c r="C199" s="37" t="s">
        <v>647</v>
      </c>
      <c r="D199" s="38" t="s">
        <v>642</v>
      </c>
      <c r="E199" s="37" t="s">
        <v>490</v>
      </c>
      <c r="F199" s="37" t="s">
        <v>390</v>
      </c>
      <c r="G199" s="1" t="s">
        <v>375</v>
      </c>
    </row>
    <row r="200">
      <c r="A200" s="37" t="s">
        <v>646</v>
      </c>
      <c r="B200" s="36">
        <v>2017.0</v>
      </c>
      <c r="C200" s="37" t="s">
        <v>648</v>
      </c>
      <c r="D200" s="38" t="s">
        <v>649</v>
      </c>
      <c r="E200" s="37" t="s">
        <v>490</v>
      </c>
      <c r="F200" s="37" t="s">
        <v>390</v>
      </c>
      <c r="G200" s="1" t="s">
        <v>375</v>
      </c>
    </row>
    <row r="201">
      <c r="A201" s="37" t="s">
        <v>646</v>
      </c>
      <c r="B201" s="36">
        <v>2017.0</v>
      </c>
      <c r="C201" s="37" t="s">
        <v>549</v>
      </c>
      <c r="D201" s="38" t="s">
        <v>649</v>
      </c>
      <c r="E201" s="37" t="s">
        <v>490</v>
      </c>
      <c r="F201" s="37" t="s">
        <v>390</v>
      </c>
      <c r="G201" s="1" t="s">
        <v>375</v>
      </c>
    </row>
    <row r="202">
      <c r="A202" s="37" t="s">
        <v>650</v>
      </c>
      <c r="B202" s="36">
        <v>2017.0</v>
      </c>
      <c r="C202" s="37" t="s">
        <v>651</v>
      </c>
      <c r="D202" s="38" t="s">
        <v>489</v>
      </c>
      <c r="E202" s="37" t="s">
        <v>490</v>
      </c>
      <c r="F202" s="37" t="s">
        <v>390</v>
      </c>
      <c r="G202" s="1" t="s">
        <v>375</v>
      </c>
    </row>
    <row r="203">
      <c r="A203" s="37" t="s">
        <v>650</v>
      </c>
      <c r="B203" s="36">
        <v>2017.0</v>
      </c>
      <c r="C203" s="37" t="s">
        <v>652</v>
      </c>
      <c r="D203" s="38" t="s">
        <v>489</v>
      </c>
      <c r="E203" s="37" t="s">
        <v>490</v>
      </c>
      <c r="F203" s="37" t="s">
        <v>390</v>
      </c>
      <c r="G203" s="1" t="s">
        <v>375</v>
      </c>
    </row>
    <row r="204">
      <c r="A204" s="37" t="s">
        <v>650</v>
      </c>
      <c r="B204" s="36">
        <v>2017.0</v>
      </c>
      <c r="C204" s="37" t="s">
        <v>423</v>
      </c>
      <c r="D204" s="38" t="s">
        <v>418</v>
      </c>
      <c r="E204" s="37" t="s">
        <v>550</v>
      </c>
      <c r="F204" s="37" t="s">
        <v>390</v>
      </c>
      <c r="G204" s="1" t="s">
        <v>375</v>
      </c>
    </row>
    <row r="205">
      <c r="A205" s="37" t="s">
        <v>650</v>
      </c>
      <c r="B205" s="36">
        <v>2017.0</v>
      </c>
      <c r="C205" s="37" t="s">
        <v>653</v>
      </c>
      <c r="D205" s="38" t="s">
        <v>654</v>
      </c>
      <c r="E205" s="35" t="s">
        <v>655</v>
      </c>
      <c r="F205" s="37" t="s">
        <v>399</v>
      </c>
      <c r="G205" s="1" t="s">
        <v>656</v>
      </c>
    </row>
    <row r="206">
      <c r="A206" s="37" t="s">
        <v>657</v>
      </c>
      <c r="B206" s="36">
        <v>2017.0</v>
      </c>
      <c r="C206" s="37" t="s">
        <v>658</v>
      </c>
      <c r="D206" s="38" t="s">
        <v>13</v>
      </c>
      <c r="E206" s="37" t="s">
        <v>427</v>
      </c>
      <c r="F206" s="37" t="s">
        <v>428</v>
      </c>
      <c r="G206" s="1" t="s">
        <v>375</v>
      </c>
    </row>
    <row r="207">
      <c r="A207" s="37" t="s">
        <v>657</v>
      </c>
      <c r="B207" s="36">
        <v>2017.0</v>
      </c>
      <c r="C207" s="37" t="s">
        <v>659</v>
      </c>
      <c r="D207" s="38" t="s">
        <v>13</v>
      </c>
      <c r="E207" s="37" t="s">
        <v>427</v>
      </c>
      <c r="F207" s="37" t="s">
        <v>428</v>
      </c>
      <c r="G207" s="1" t="s">
        <v>375</v>
      </c>
    </row>
    <row r="208">
      <c r="A208" s="37" t="s">
        <v>657</v>
      </c>
      <c r="B208" s="36">
        <v>2017.0</v>
      </c>
      <c r="C208" s="37" t="s">
        <v>660</v>
      </c>
      <c r="D208" s="38" t="s">
        <v>13</v>
      </c>
      <c r="E208" s="37" t="s">
        <v>427</v>
      </c>
      <c r="F208" s="37" t="s">
        <v>428</v>
      </c>
      <c r="G208" s="1" t="s">
        <v>375</v>
      </c>
    </row>
    <row r="209">
      <c r="A209" s="37" t="s">
        <v>657</v>
      </c>
      <c r="B209" s="36">
        <v>2017.0</v>
      </c>
      <c r="C209" s="37" t="s">
        <v>661</v>
      </c>
      <c r="D209" s="38" t="s">
        <v>13</v>
      </c>
      <c r="E209" s="37" t="s">
        <v>427</v>
      </c>
      <c r="F209" s="37" t="s">
        <v>428</v>
      </c>
      <c r="G209" s="1" t="s">
        <v>375</v>
      </c>
    </row>
    <row r="210">
      <c r="A210" s="37" t="s">
        <v>662</v>
      </c>
      <c r="B210" s="36">
        <v>2017.0</v>
      </c>
      <c r="C210" s="37" t="s">
        <v>663</v>
      </c>
      <c r="D210" s="38" t="s">
        <v>642</v>
      </c>
      <c r="E210" s="37" t="s">
        <v>490</v>
      </c>
      <c r="F210" s="37" t="s">
        <v>390</v>
      </c>
      <c r="G210" s="1" t="s">
        <v>375</v>
      </c>
    </row>
    <row r="211">
      <c r="A211" s="37" t="s">
        <v>662</v>
      </c>
      <c r="B211" s="36">
        <v>2017.0</v>
      </c>
      <c r="C211" s="37" t="s">
        <v>664</v>
      </c>
      <c r="D211" s="38" t="s">
        <v>649</v>
      </c>
      <c r="E211" s="37" t="s">
        <v>490</v>
      </c>
      <c r="F211" s="37" t="s">
        <v>390</v>
      </c>
      <c r="G211" s="1" t="s">
        <v>375</v>
      </c>
    </row>
    <row r="212">
      <c r="A212" s="37" t="s">
        <v>662</v>
      </c>
      <c r="B212" s="36">
        <v>2017.0</v>
      </c>
      <c r="C212" s="37" t="s">
        <v>665</v>
      </c>
      <c r="D212" s="38" t="s">
        <v>649</v>
      </c>
      <c r="E212" s="37" t="s">
        <v>490</v>
      </c>
      <c r="F212" s="37" t="s">
        <v>390</v>
      </c>
      <c r="G212" s="1" t="s">
        <v>375</v>
      </c>
    </row>
    <row r="213">
      <c r="A213" s="37" t="s">
        <v>662</v>
      </c>
      <c r="B213" s="36">
        <v>2017.0</v>
      </c>
      <c r="C213" s="37" t="s">
        <v>666</v>
      </c>
      <c r="D213" s="38" t="s">
        <v>649</v>
      </c>
      <c r="E213" s="37" t="s">
        <v>490</v>
      </c>
      <c r="F213" s="37" t="s">
        <v>390</v>
      </c>
      <c r="G213" s="1" t="s">
        <v>375</v>
      </c>
    </row>
    <row r="214">
      <c r="A214" s="37" t="s">
        <v>667</v>
      </c>
      <c r="B214" s="36">
        <v>2017.0</v>
      </c>
      <c r="C214" s="37" t="s">
        <v>668</v>
      </c>
      <c r="D214" s="38" t="s">
        <v>489</v>
      </c>
      <c r="E214" s="37" t="s">
        <v>490</v>
      </c>
      <c r="F214" s="37" t="s">
        <v>390</v>
      </c>
      <c r="G214" s="1" t="s">
        <v>375</v>
      </c>
    </row>
    <row r="215">
      <c r="A215" s="37" t="s">
        <v>667</v>
      </c>
      <c r="B215" s="36">
        <v>2017.0</v>
      </c>
      <c r="C215" s="37" t="s">
        <v>669</v>
      </c>
      <c r="D215" s="38" t="s">
        <v>489</v>
      </c>
      <c r="E215" s="37" t="s">
        <v>490</v>
      </c>
      <c r="F215" s="37" t="s">
        <v>390</v>
      </c>
      <c r="G215" s="1" t="s">
        <v>375</v>
      </c>
    </row>
    <row r="216">
      <c r="A216" s="37" t="s">
        <v>667</v>
      </c>
      <c r="B216" s="36">
        <v>2017.0</v>
      </c>
      <c r="C216" s="37" t="s">
        <v>670</v>
      </c>
      <c r="D216" s="38" t="s">
        <v>489</v>
      </c>
      <c r="E216" s="37" t="s">
        <v>490</v>
      </c>
      <c r="F216" s="37" t="s">
        <v>390</v>
      </c>
      <c r="G216" s="1" t="s">
        <v>375</v>
      </c>
    </row>
    <row r="217">
      <c r="A217" s="37" t="s">
        <v>671</v>
      </c>
      <c r="B217" s="36">
        <v>2017.0</v>
      </c>
      <c r="C217" s="37" t="s">
        <v>672</v>
      </c>
      <c r="D217" s="38" t="s">
        <v>489</v>
      </c>
      <c r="E217" s="37" t="s">
        <v>490</v>
      </c>
      <c r="F217" s="37" t="s">
        <v>390</v>
      </c>
      <c r="G217" s="1" t="s">
        <v>375</v>
      </c>
    </row>
    <row r="218">
      <c r="A218" s="37" t="s">
        <v>671</v>
      </c>
      <c r="B218" s="36">
        <v>2017.0</v>
      </c>
      <c r="C218" s="37" t="s">
        <v>673</v>
      </c>
      <c r="D218" s="38" t="s">
        <v>489</v>
      </c>
      <c r="E218" s="37" t="s">
        <v>490</v>
      </c>
      <c r="F218" s="37" t="s">
        <v>390</v>
      </c>
      <c r="G218" s="1" t="s">
        <v>375</v>
      </c>
    </row>
    <row r="219">
      <c r="A219" s="37" t="s">
        <v>674</v>
      </c>
      <c r="B219" s="36">
        <v>2017.0</v>
      </c>
      <c r="C219" s="37" t="s">
        <v>672</v>
      </c>
      <c r="D219" s="38" t="s">
        <v>489</v>
      </c>
      <c r="E219" s="37" t="s">
        <v>490</v>
      </c>
      <c r="F219" s="37" t="s">
        <v>390</v>
      </c>
      <c r="G219" s="1" t="s">
        <v>375</v>
      </c>
    </row>
    <row r="220">
      <c r="A220" s="37" t="s">
        <v>674</v>
      </c>
      <c r="B220" s="36">
        <v>2017.0</v>
      </c>
      <c r="C220" s="37" t="s">
        <v>669</v>
      </c>
      <c r="D220" s="38" t="s">
        <v>489</v>
      </c>
      <c r="E220" s="37" t="s">
        <v>490</v>
      </c>
      <c r="F220" s="37" t="s">
        <v>390</v>
      </c>
      <c r="G220" s="1" t="s">
        <v>375</v>
      </c>
    </row>
    <row r="221">
      <c r="A221" s="37" t="s">
        <v>674</v>
      </c>
      <c r="B221" s="36">
        <v>2017.0</v>
      </c>
      <c r="C221" s="37" t="s">
        <v>668</v>
      </c>
      <c r="D221" s="38" t="s">
        <v>489</v>
      </c>
      <c r="E221" s="37" t="s">
        <v>490</v>
      </c>
      <c r="F221" s="37" t="s">
        <v>390</v>
      </c>
      <c r="G221" s="1" t="s">
        <v>375</v>
      </c>
    </row>
    <row r="222">
      <c r="A222" s="37" t="s">
        <v>674</v>
      </c>
      <c r="B222" s="36">
        <v>2017.0</v>
      </c>
      <c r="C222" s="37" t="s">
        <v>670</v>
      </c>
      <c r="D222" s="38" t="s">
        <v>489</v>
      </c>
      <c r="E222" s="37" t="s">
        <v>490</v>
      </c>
      <c r="F222" s="37" t="s">
        <v>390</v>
      </c>
      <c r="G222" s="1" t="s">
        <v>375</v>
      </c>
    </row>
    <row r="223">
      <c r="A223" s="37" t="s">
        <v>675</v>
      </c>
      <c r="B223" s="36">
        <v>2017.0</v>
      </c>
      <c r="C223" s="37" t="s">
        <v>676</v>
      </c>
      <c r="D223" s="38" t="s">
        <v>677</v>
      </c>
      <c r="E223" s="37" t="s">
        <v>427</v>
      </c>
      <c r="F223" s="37" t="s">
        <v>428</v>
      </c>
      <c r="G223" s="1" t="s">
        <v>375</v>
      </c>
    </row>
    <row r="224">
      <c r="A224" s="37" t="s">
        <v>675</v>
      </c>
      <c r="B224" s="36">
        <v>2017.0</v>
      </c>
      <c r="C224" s="37" t="s">
        <v>678</v>
      </c>
      <c r="D224" s="38" t="s">
        <v>13</v>
      </c>
      <c r="E224" s="37" t="s">
        <v>427</v>
      </c>
      <c r="F224" s="37" t="s">
        <v>428</v>
      </c>
      <c r="G224" s="1" t="s">
        <v>375</v>
      </c>
    </row>
    <row r="225">
      <c r="A225" s="37" t="s">
        <v>675</v>
      </c>
      <c r="B225" s="36">
        <v>2017.0</v>
      </c>
      <c r="C225" s="37" t="s">
        <v>456</v>
      </c>
      <c r="D225" s="38" t="s">
        <v>13</v>
      </c>
      <c r="E225" s="37" t="s">
        <v>427</v>
      </c>
      <c r="F225" s="37" t="s">
        <v>428</v>
      </c>
      <c r="G225" s="1" t="s">
        <v>375</v>
      </c>
    </row>
    <row r="226">
      <c r="A226" s="37" t="s">
        <v>679</v>
      </c>
      <c r="B226" s="36">
        <v>2017.0</v>
      </c>
      <c r="C226" s="37" t="s">
        <v>680</v>
      </c>
      <c r="D226" s="38" t="s">
        <v>13</v>
      </c>
      <c r="E226" s="37" t="s">
        <v>427</v>
      </c>
      <c r="F226" s="37" t="s">
        <v>428</v>
      </c>
      <c r="G226" s="1" t="s">
        <v>375</v>
      </c>
    </row>
    <row r="227">
      <c r="A227" s="37" t="s">
        <v>679</v>
      </c>
      <c r="B227" s="36">
        <v>2017.0</v>
      </c>
      <c r="C227" s="37" t="s">
        <v>681</v>
      </c>
      <c r="D227" s="38" t="s">
        <v>489</v>
      </c>
      <c r="E227" s="37" t="s">
        <v>490</v>
      </c>
      <c r="F227" s="37" t="s">
        <v>390</v>
      </c>
      <c r="G227" s="1" t="s">
        <v>375</v>
      </c>
    </row>
    <row r="228">
      <c r="A228" s="37" t="s">
        <v>679</v>
      </c>
      <c r="B228" s="36">
        <v>2017.0</v>
      </c>
      <c r="C228" s="37" t="s">
        <v>682</v>
      </c>
      <c r="D228" s="38" t="s">
        <v>13</v>
      </c>
      <c r="E228" s="37" t="s">
        <v>427</v>
      </c>
      <c r="F228" s="37" t="s">
        <v>428</v>
      </c>
      <c r="G228" s="1" t="s">
        <v>375</v>
      </c>
    </row>
    <row r="229">
      <c r="A229" s="37" t="s">
        <v>683</v>
      </c>
      <c r="B229" s="36">
        <v>2017.0</v>
      </c>
      <c r="C229" s="37" t="s">
        <v>684</v>
      </c>
      <c r="D229" s="38" t="s">
        <v>13</v>
      </c>
      <c r="E229" s="37" t="s">
        <v>427</v>
      </c>
      <c r="F229" s="37" t="s">
        <v>428</v>
      </c>
      <c r="G229" s="1" t="s">
        <v>375</v>
      </c>
    </row>
    <row r="230">
      <c r="A230" s="37" t="s">
        <v>683</v>
      </c>
      <c r="B230" s="36">
        <v>2017.0</v>
      </c>
      <c r="C230" s="37" t="s">
        <v>685</v>
      </c>
      <c r="D230" s="38" t="s">
        <v>13</v>
      </c>
      <c r="E230" s="37" t="s">
        <v>427</v>
      </c>
      <c r="F230" s="37" t="s">
        <v>428</v>
      </c>
      <c r="G230" s="1" t="s">
        <v>375</v>
      </c>
    </row>
    <row r="231">
      <c r="A231" s="37" t="s">
        <v>686</v>
      </c>
      <c r="B231" s="36">
        <v>2021.0</v>
      </c>
      <c r="C231" s="37" t="s">
        <v>687</v>
      </c>
      <c r="D231" s="38" t="s">
        <v>13</v>
      </c>
      <c r="E231" s="37" t="s">
        <v>427</v>
      </c>
      <c r="F231" s="37" t="s">
        <v>428</v>
      </c>
      <c r="G231" s="1" t="s">
        <v>375</v>
      </c>
    </row>
    <row r="232">
      <c r="A232" s="37" t="s">
        <v>686</v>
      </c>
      <c r="B232" s="36">
        <v>2021.0</v>
      </c>
      <c r="C232" s="37" t="s">
        <v>494</v>
      </c>
      <c r="D232" s="38" t="s">
        <v>13</v>
      </c>
      <c r="E232" s="37" t="s">
        <v>427</v>
      </c>
      <c r="F232" s="37" t="s">
        <v>428</v>
      </c>
      <c r="G232" s="1" t="s">
        <v>375</v>
      </c>
    </row>
    <row r="233">
      <c r="A233" s="37" t="s">
        <v>688</v>
      </c>
      <c r="B233" s="36">
        <v>2021.0</v>
      </c>
      <c r="C233" s="37" t="s">
        <v>604</v>
      </c>
      <c r="D233" s="38" t="s">
        <v>13</v>
      </c>
      <c r="E233" s="37" t="s">
        <v>427</v>
      </c>
      <c r="F233" s="37" t="s">
        <v>428</v>
      </c>
      <c r="G233" s="1" t="s">
        <v>375</v>
      </c>
    </row>
    <row r="234">
      <c r="A234" s="37" t="s">
        <v>688</v>
      </c>
      <c r="B234" s="36">
        <v>2021.0</v>
      </c>
      <c r="C234" s="37" t="s">
        <v>605</v>
      </c>
      <c r="D234" s="38" t="s">
        <v>13</v>
      </c>
      <c r="E234" s="37" t="s">
        <v>427</v>
      </c>
      <c r="F234" s="37" t="s">
        <v>428</v>
      </c>
      <c r="G234" s="1" t="s">
        <v>375</v>
      </c>
    </row>
    <row r="235">
      <c r="A235" s="37" t="s">
        <v>688</v>
      </c>
      <c r="B235" s="36">
        <v>2021.0</v>
      </c>
      <c r="C235" s="37" t="s">
        <v>606</v>
      </c>
      <c r="D235" s="38" t="s">
        <v>13</v>
      </c>
      <c r="E235" s="37" t="s">
        <v>427</v>
      </c>
      <c r="F235" s="37" t="s">
        <v>428</v>
      </c>
      <c r="G235" s="1" t="s">
        <v>375</v>
      </c>
    </row>
    <row r="236">
      <c r="A236" s="37" t="s">
        <v>689</v>
      </c>
      <c r="B236" s="36">
        <v>2021.0</v>
      </c>
      <c r="C236" s="37" t="s">
        <v>690</v>
      </c>
      <c r="D236" s="38" t="s">
        <v>30</v>
      </c>
      <c r="E236" s="37" t="s">
        <v>379</v>
      </c>
      <c r="F236" s="37" t="s">
        <v>380</v>
      </c>
      <c r="G236" s="1" t="s">
        <v>375</v>
      </c>
    </row>
    <row r="237">
      <c r="A237" s="37" t="s">
        <v>689</v>
      </c>
      <c r="B237" s="36">
        <v>2021.0</v>
      </c>
      <c r="C237" s="37" t="s">
        <v>385</v>
      </c>
      <c r="D237" s="38" t="s">
        <v>30</v>
      </c>
      <c r="E237" s="37" t="s">
        <v>379</v>
      </c>
      <c r="F237" s="37" t="s">
        <v>380</v>
      </c>
      <c r="G237" s="1" t="s">
        <v>375</v>
      </c>
    </row>
    <row r="238">
      <c r="A238" s="37" t="s">
        <v>689</v>
      </c>
      <c r="B238" s="36">
        <v>2021.0</v>
      </c>
      <c r="C238" s="37" t="s">
        <v>691</v>
      </c>
      <c r="D238" s="38" t="s">
        <v>30</v>
      </c>
      <c r="E238" s="37" t="s">
        <v>379</v>
      </c>
      <c r="F238" s="37" t="s">
        <v>380</v>
      </c>
      <c r="G238" s="1" t="s">
        <v>375</v>
      </c>
    </row>
    <row r="239">
      <c r="A239" s="37" t="s">
        <v>692</v>
      </c>
      <c r="B239" s="36">
        <v>2021.0</v>
      </c>
      <c r="C239" s="37" t="s">
        <v>693</v>
      </c>
      <c r="D239" s="38" t="s">
        <v>694</v>
      </c>
      <c r="E239" s="37" t="s">
        <v>695</v>
      </c>
      <c r="F239" s="37" t="s">
        <v>399</v>
      </c>
      <c r="G239" s="1" t="s">
        <v>696</v>
      </c>
    </row>
    <row r="240">
      <c r="A240" s="37" t="s">
        <v>697</v>
      </c>
      <c r="B240" s="36">
        <v>2021.0</v>
      </c>
      <c r="C240" s="37" t="s">
        <v>698</v>
      </c>
      <c r="D240" s="38" t="s">
        <v>30</v>
      </c>
      <c r="E240" s="37" t="s">
        <v>379</v>
      </c>
      <c r="F240" s="37" t="s">
        <v>380</v>
      </c>
      <c r="G240" s="1" t="s">
        <v>375</v>
      </c>
    </row>
    <row r="241">
      <c r="A241" s="37" t="s">
        <v>697</v>
      </c>
      <c r="B241" s="36">
        <v>2021.0</v>
      </c>
      <c r="C241" s="37" t="s">
        <v>385</v>
      </c>
      <c r="D241" s="38" t="s">
        <v>30</v>
      </c>
      <c r="E241" s="37" t="s">
        <v>379</v>
      </c>
      <c r="F241" s="37" t="s">
        <v>380</v>
      </c>
      <c r="G241" s="1" t="s">
        <v>375</v>
      </c>
    </row>
    <row r="242">
      <c r="A242" s="37" t="s">
        <v>699</v>
      </c>
      <c r="B242" s="36">
        <v>2021.0</v>
      </c>
      <c r="C242" s="37" t="s">
        <v>561</v>
      </c>
      <c r="D242" s="38" t="s">
        <v>13</v>
      </c>
      <c r="E242" s="37" t="s">
        <v>427</v>
      </c>
      <c r="F242" s="37" t="s">
        <v>428</v>
      </c>
      <c r="G242" s="1" t="s">
        <v>375</v>
      </c>
    </row>
    <row r="243">
      <c r="A243" s="37" t="s">
        <v>699</v>
      </c>
      <c r="B243" s="36">
        <v>2021.0</v>
      </c>
      <c r="C243" s="37" t="s">
        <v>700</v>
      </c>
      <c r="D243" s="38" t="s">
        <v>13</v>
      </c>
      <c r="E243" s="37" t="s">
        <v>427</v>
      </c>
      <c r="F243" s="37" t="s">
        <v>428</v>
      </c>
      <c r="G243" s="1" t="s">
        <v>375</v>
      </c>
    </row>
    <row r="244">
      <c r="A244" s="37" t="s">
        <v>701</v>
      </c>
      <c r="B244" s="36">
        <v>2021.0</v>
      </c>
      <c r="C244" s="37" t="s">
        <v>378</v>
      </c>
      <c r="D244" s="38" t="s">
        <v>30</v>
      </c>
      <c r="E244" s="37" t="s">
        <v>379</v>
      </c>
      <c r="F244" s="37" t="s">
        <v>380</v>
      </c>
      <c r="G244" s="1" t="s">
        <v>375</v>
      </c>
    </row>
    <row r="245">
      <c r="A245" s="37" t="s">
        <v>701</v>
      </c>
      <c r="B245" s="36">
        <v>2021.0</v>
      </c>
      <c r="C245" s="37" t="s">
        <v>385</v>
      </c>
      <c r="D245" s="38" t="s">
        <v>30</v>
      </c>
      <c r="E245" s="37" t="s">
        <v>379</v>
      </c>
      <c r="F245" s="37" t="s">
        <v>380</v>
      </c>
      <c r="G245" s="1" t="s">
        <v>375</v>
      </c>
    </row>
    <row r="246">
      <c r="A246" s="37" t="s">
        <v>702</v>
      </c>
      <c r="B246" s="36">
        <v>2021.0</v>
      </c>
      <c r="C246" s="37" t="s">
        <v>440</v>
      </c>
      <c r="D246" s="38" t="s">
        <v>703</v>
      </c>
      <c r="E246" s="37" t="s">
        <v>704</v>
      </c>
      <c r="F246" s="37" t="s">
        <v>705</v>
      </c>
      <c r="G246" s="1" t="s">
        <v>375</v>
      </c>
    </row>
    <row r="247">
      <c r="A247" s="37" t="s">
        <v>702</v>
      </c>
      <c r="B247" s="36">
        <v>2021.0</v>
      </c>
      <c r="C247" s="37" t="s">
        <v>439</v>
      </c>
      <c r="D247" s="38" t="s">
        <v>431</v>
      </c>
      <c r="E247" s="37" t="s">
        <v>410</v>
      </c>
      <c r="F247" s="37" t="s">
        <v>411</v>
      </c>
      <c r="G247" s="1" t="s">
        <v>375</v>
      </c>
    </row>
    <row r="248">
      <c r="A248" s="37" t="s">
        <v>706</v>
      </c>
      <c r="B248" s="36">
        <v>2021.0</v>
      </c>
      <c r="C248" s="37" t="s">
        <v>707</v>
      </c>
      <c r="D248" s="38" t="s">
        <v>562</v>
      </c>
      <c r="E248" s="37" t="s">
        <v>563</v>
      </c>
      <c r="F248" s="37" t="s">
        <v>380</v>
      </c>
      <c r="G248" s="1" t="s">
        <v>375</v>
      </c>
    </row>
    <row r="249">
      <c r="A249" s="37" t="s">
        <v>706</v>
      </c>
      <c r="B249" s="36">
        <v>2021.0</v>
      </c>
      <c r="C249" s="37" t="s">
        <v>700</v>
      </c>
      <c r="D249" s="38" t="s">
        <v>13</v>
      </c>
      <c r="E249" s="37" t="s">
        <v>427</v>
      </c>
      <c r="F249" s="37" t="s">
        <v>428</v>
      </c>
      <c r="G249" s="1" t="s">
        <v>375</v>
      </c>
    </row>
    <row r="250">
      <c r="A250" s="37" t="s">
        <v>706</v>
      </c>
      <c r="B250" s="36">
        <v>2021.0</v>
      </c>
      <c r="C250" s="37" t="s">
        <v>708</v>
      </c>
      <c r="D250" s="38" t="s">
        <v>13</v>
      </c>
      <c r="E250" s="37" t="s">
        <v>427</v>
      </c>
      <c r="F250" s="37" t="s">
        <v>428</v>
      </c>
      <c r="G250" s="1" t="s">
        <v>375</v>
      </c>
    </row>
    <row r="251">
      <c r="A251" s="37" t="s">
        <v>709</v>
      </c>
      <c r="B251" s="36">
        <v>2021.0</v>
      </c>
      <c r="C251" s="37" t="s">
        <v>710</v>
      </c>
      <c r="D251" s="38" t="s">
        <v>434</v>
      </c>
      <c r="E251" s="37" t="s">
        <v>379</v>
      </c>
      <c r="F251" s="37" t="s">
        <v>380</v>
      </c>
      <c r="G251" s="1" t="s">
        <v>375</v>
      </c>
    </row>
    <row r="252">
      <c r="A252" s="37" t="s">
        <v>709</v>
      </c>
      <c r="B252" s="36">
        <v>2021.0</v>
      </c>
      <c r="C252" s="37" t="s">
        <v>711</v>
      </c>
      <c r="D252" s="38" t="s">
        <v>434</v>
      </c>
      <c r="E252" s="37" t="s">
        <v>379</v>
      </c>
      <c r="F252" s="37" t="s">
        <v>380</v>
      </c>
      <c r="G252" s="1" t="s">
        <v>375</v>
      </c>
    </row>
    <row r="253">
      <c r="A253" s="37" t="s">
        <v>712</v>
      </c>
      <c r="B253" s="36">
        <v>2021.0</v>
      </c>
      <c r="C253" s="37" t="s">
        <v>713</v>
      </c>
      <c r="D253" s="38" t="s">
        <v>434</v>
      </c>
      <c r="E253" s="37" t="s">
        <v>379</v>
      </c>
      <c r="F253" s="37" t="s">
        <v>380</v>
      </c>
      <c r="G253" s="1" t="s">
        <v>375</v>
      </c>
    </row>
    <row r="254">
      <c r="A254" s="37" t="s">
        <v>712</v>
      </c>
      <c r="B254" s="36">
        <v>2021.0</v>
      </c>
      <c r="C254" s="37" t="s">
        <v>714</v>
      </c>
      <c r="D254" s="38" t="s">
        <v>393</v>
      </c>
      <c r="E254" s="37" t="s">
        <v>394</v>
      </c>
      <c r="F254" s="37" t="s">
        <v>395</v>
      </c>
      <c r="G254" s="1" t="s">
        <v>375</v>
      </c>
    </row>
    <row r="255">
      <c r="A255" s="37" t="s">
        <v>712</v>
      </c>
      <c r="B255" s="36">
        <v>2021.0</v>
      </c>
      <c r="C255" s="37" t="s">
        <v>381</v>
      </c>
      <c r="D255" s="38" t="s">
        <v>382</v>
      </c>
      <c r="E255" s="37" t="s">
        <v>383</v>
      </c>
      <c r="F255" s="37" t="s">
        <v>384</v>
      </c>
      <c r="G255" s="1" t="s">
        <v>375</v>
      </c>
    </row>
    <row r="256">
      <c r="A256" s="37" t="s">
        <v>715</v>
      </c>
      <c r="B256" s="36">
        <v>2021.0</v>
      </c>
      <c r="C256" s="37" t="s">
        <v>716</v>
      </c>
      <c r="D256" s="38" t="s">
        <v>393</v>
      </c>
      <c r="E256" s="37" t="s">
        <v>394</v>
      </c>
      <c r="F256" s="37" t="s">
        <v>395</v>
      </c>
      <c r="G256" s="1" t="s">
        <v>375</v>
      </c>
    </row>
    <row r="257">
      <c r="A257" s="37" t="s">
        <v>715</v>
      </c>
      <c r="B257" s="36">
        <v>2021.0</v>
      </c>
      <c r="C257" s="37" t="s">
        <v>714</v>
      </c>
      <c r="D257" s="38" t="s">
        <v>393</v>
      </c>
      <c r="E257" s="37" t="s">
        <v>394</v>
      </c>
      <c r="F257" s="37" t="s">
        <v>395</v>
      </c>
      <c r="G257" s="1" t="s">
        <v>375</v>
      </c>
    </row>
    <row r="258">
      <c r="A258" s="37" t="s">
        <v>715</v>
      </c>
      <c r="B258" s="36">
        <v>2021.0</v>
      </c>
      <c r="C258" s="37" t="s">
        <v>717</v>
      </c>
      <c r="D258" s="38" t="s">
        <v>36</v>
      </c>
      <c r="E258" s="37" t="s">
        <v>404</v>
      </c>
      <c r="F258" s="37" t="s">
        <v>405</v>
      </c>
      <c r="G258" s="1" t="s">
        <v>375</v>
      </c>
    </row>
    <row r="259">
      <c r="A259" s="37" t="s">
        <v>718</v>
      </c>
      <c r="B259" s="36">
        <v>2021.0</v>
      </c>
      <c r="C259" s="37" t="s">
        <v>574</v>
      </c>
      <c r="D259" s="38" t="s">
        <v>19</v>
      </c>
      <c r="E259" s="37" t="s">
        <v>600</v>
      </c>
      <c r="F259" s="37" t="s">
        <v>601</v>
      </c>
      <c r="G259" s="1" t="s">
        <v>375</v>
      </c>
    </row>
    <row r="260">
      <c r="A260" s="37" t="s">
        <v>718</v>
      </c>
      <c r="B260" s="36">
        <v>2021.0</v>
      </c>
      <c r="C260" s="37" t="s">
        <v>576</v>
      </c>
      <c r="D260" s="38" t="s">
        <v>19</v>
      </c>
      <c r="E260" s="37" t="s">
        <v>600</v>
      </c>
      <c r="F260" s="37" t="s">
        <v>601</v>
      </c>
      <c r="G260" s="1" t="s">
        <v>375</v>
      </c>
    </row>
    <row r="261">
      <c r="A261" s="37" t="s">
        <v>719</v>
      </c>
      <c r="B261" s="36">
        <v>2021.0</v>
      </c>
      <c r="C261" s="37" t="s">
        <v>409</v>
      </c>
      <c r="D261" s="38" t="s">
        <v>532</v>
      </c>
      <c r="E261" s="37" t="s">
        <v>410</v>
      </c>
      <c r="F261" s="37" t="s">
        <v>411</v>
      </c>
      <c r="G261" s="1" t="s">
        <v>375</v>
      </c>
    </row>
    <row r="262">
      <c r="A262" s="37" t="s">
        <v>720</v>
      </c>
      <c r="B262" s="36">
        <v>2021.0</v>
      </c>
      <c r="C262" s="37" t="s">
        <v>721</v>
      </c>
      <c r="D262" s="38" t="s">
        <v>13</v>
      </c>
      <c r="E262" s="37" t="s">
        <v>427</v>
      </c>
      <c r="F262" s="37" t="s">
        <v>428</v>
      </c>
      <c r="G262" s="1" t="s">
        <v>375</v>
      </c>
    </row>
    <row r="263">
      <c r="A263" s="37" t="s">
        <v>720</v>
      </c>
      <c r="B263" s="36">
        <v>2021.0</v>
      </c>
      <c r="C263" s="37" t="s">
        <v>722</v>
      </c>
      <c r="D263" s="38" t="s">
        <v>13</v>
      </c>
      <c r="E263" s="37" t="s">
        <v>427</v>
      </c>
      <c r="F263" s="37" t="s">
        <v>428</v>
      </c>
      <c r="G263" s="1" t="s">
        <v>375</v>
      </c>
    </row>
    <row r="264">
      <c r="A264" s="37" t="s">
        <v>723</v>
      </c>
      <c r="B264" s="36">
        <v>2021.0</v>
      </c>
      <c r="C264" s="37" t="s">
        <v>449</v>
      </c>
      <c r="D264" s="38" t="s">
        <v>36</v>
      </c>
      <c r="E264" s="37" t="s">
        <v>404</v>
      </c>
      <c r="F264" s="37" t="s">
        <v>405</v>
      </c>
      <c r="G264" s="1" t="s">
        <v>375</v>
      </c>
    </row>
    <row r="265">
      <c r="A265" s="37" t="s">
        <v>723</v>
      </c>
      <c r="B265" s="36">
        <v>2021.0</v>
      </c>
      <c r="C265" s="37" t="s">
        <v>409</v>
      </c>
      <c r="D265" s="38" t="s">
        <v>532</v>
      </c>
      <c r="E265" s="37" t="s">
        <v>410</v>
      </c>
      <c r="F265" s="37" t="s">
        <v>411</v>
      </c>
      <c r="G265" s="1" t="s">
        <v>375</v>
      </c>
    </row>
    <row r="266">
      <c r="A266" s="37" t="s">
        <v>723</v>
      </c>
      <c r="B266" s="36">
        <v>2021.0</v>
      </c>
      <c r="C266" s="37" t="s">
        <v>552</v>
      </c>
      <c r="D266" s="38" t="s">
        <v>532</v>
      </c>
      <c r="E266" s="37" t="s">
        <v>410</v>
      </c>
      <c r="F266" s="37" t="s">
        <v>411</v>
      </c>
      <c r="G266" s="1" t="s">
        <v>375</v>
      </c>
    </row>
    <row r="267">
      <c r="A267" s="37" t="s">
        <v>724</v>
      </c>
      <c r="B267" s="36">
        <v>2021.0</v>
      </c>
      <c r="C267" s="37" t="s">
        <v>572</v>
      </c>
      <c r="D267" s="38" t="s">
        <v>532</v>
      </c>
      <c r="E267" s="37" t="s">
        <v>410</v>
      </c>
      <c r="F267" s="37" t="s">
        <v>411</v>
      </c>
      <c r="G267" s="1" t="s">
        <v>375</v>
      </c>
    </row>
    <row r="268">
      <c r="A268" s="37" t="s">
        <v>724</v>
      </c>
      <c r="B268" s="36">
        <v>2021.0</v>
      </c>
      <c r="C268" s="37" t="s">
        <v>409</v>
      </c>
      <c r="D268" s="38" t="s">
        <v>532</v>
      </c>
      <c r="E268" s="37" t="s">
        <v>410</v>
      </c>
      <c r="F268" s="37" t="s">
        <v>411</v>
      </c>
      <c r="G268" s="1" t="s">
        <v>375</v>
      </c>
    </row>
    <row r="269">
      <c r="A269" s="37" t="s">
        <v>725</v>
      </c>
      <c r="B269" s="36">
        <v>2021.0</v>
      </c>
      <c r="C269" s="37" t="s">
        <v>412</v>
      </c>
      <c r="D269" s="38" t="s">
        <v>532</v>
      </c>
      <c r="E269" s="37" t="s">
        <v>410</v>
      </c>
      <c r="F269" s="37" t="s">
        <v>411</v>
      </c>
      <c r="G269" s="1" t="s">
        <v>375</v>
      </c>
    </row>
    <row r="270">
      <c r="A270" s="37" t="s">
        <v>725</v>
      </c>
      <c r="B270" s="36">
        <v>2021.0</v>
      </c>
      <c r="C270" s="37" t="s">
        <v>409</v>
      </c>
      <c r="D270" s="38" t="s">
        <v>532</v>
      </c>
      <c r="E270" s="37" t="s">
        <v>410</v>
      </c>
      <c r="F270" s="37" t="s">
        <v>411</v>
      </c>
      <c r="G270" s="1" t="s">
        <v>375</v>
      </c>
    </row>
    <row r="271">
      <c r="A271" s="37" t="s">
        <v>725</v>
      </c>
      <c r="B271" s="36">
        <v>2021.0</v>
      </c>
      <c r="C271" s="37" t="s">
        <v>413</v>
      </c>
      <c r="D271" s="38" t="s">
        <v>726</v>
      </c>
      <c r="E271" s="37" t="s">
        <v>727</v>
      </c>
      <c r="F271" s="37" t="s">
        <v>399</v>
      </c>
      <c r="G271" s="1" t="s">
        <v>375</v>
      </c>
    </row>
    <row r="272">
      <c r="A272" s="37" t="s">
        <v>728</v>
      </c>
      <c r="B272" s="36">
        <v>2021.0</v>
      </c>
      <c r="C272" s="37" t="s">
        <v>457</v>
      </c>
      <c r="D272" s="38" t="s">
        <v>13</v>
      </c>
      <c r="E272" s="37" t="s">
        <v>427</v>
      </c>
      <c r="F272" s="37" t="s">
        <v>428</v>
      </c>
      <c r="G272" s="1" t="s">
        <v>375</v>
      </c>
    </row>
    <row r="273">
      <c r="A273" s="37" t="s">
        <v>728</v>
      </c>
      <c r="B273" s="36">
        <v>2021.0</v>
      </c>
      <c r="C273" s="37" t="s">
        <v>456</v>
      </c>
      <c r="D273" s="38" t="s">
        <v>13</v>
      </c>
      <c r="E273" s="37" t="s">
        <v>427</v>
      </c>
      <c r="F273" s="37" t="s">
        <v>428</v>
      </c>
      <c r="G273" s="1" t="s">
        <v>375</v>
      </c>
    </row>
    <row r="274">
      <c r="A274" s="37" t="s">
        <v>729</v>
      </c>
      <c r="B274" s="36">
        <v>2021.0</v>
      </c>
      <c r="C274" s="37" t="s">
        <v>730</v>
      </c>
      <c r="D274" s="38" t="s">
        <v>13</v>
      </c>
      <c r="E274" s="37" t="s">
        <v>427</v>
      </c>
      <c r="F274" s="37" t="s">
        <v>428</v>
      </c>
      <c r="G274" s="1" t="s">
        <v>375</v>
      </c>
    </row>
    <row r="275">
      <c r="A275" s="37" t="s">
        <v>729</v>
      </c>
      <c r="B275" s="36">
        <v>2021.0</v>
      </c>
      <c r="C275" s="37" t="s">
        <v>456</v>
      </c>
      <c r="D275" s="38" t="s">
        <v>13</v>
      </c>
      <c r="E275" s="37" t="s">
        <v>427</v>
      </c>
      <c r="F275" s="37" t="s">
        <v>428</v>
      </c>
      <c r="G275" s="1" t="s">
        <v>375</v>
      </c>
    </row>
    <row r="276">
      <c r="A276" s="37" t="s">
        <v>731</v>
      </c>
      <c r="B276" s="36">
        <v>2021.0</v>
      </c>
      <c r="C276" s="37" t="s">
        <v>732</v>
      </c>
      <c r="D276" s="38" t="s">
        <v>431</v>
      </c>
      <c r="E276" s="37" t="s">
        <v>410</v>
      </c>
      <c r="F276" s="37" t="s">
        <v>411</v>
      </c>
      <c r="G276" s="1" t="s">
        <v>375</v>
      </c>
    </row>
    <row r="277">
      <c r="A277" s="37" t="s">
        <v>731</v>
      </c>
      <c r="B277" s="36">
        <v>2021.0</v>
      </c>
      <c r="C277" s="37" t="s">
        <v>733</v>
      </c>
      <c r="D277" s="38" t="s">
        <v>431</v>
      </c>
      <c r="E277" s="37" t="s">
        <v>410</v>
      </c>
      <c r="F277" s="37" t="s">
        <v>411</v>
      </c>
      <c r="G277" s="1" t="s">
        <v>375</v>
      </c>
    </row>
    <row r="278">
      <c r="A278" s="37" t="s">
        <v>731</v>
      </c>
      <c r="B278" s="36">
        <v>2021.0</v>
      </c>
      <c r="C278" s="37" t="s">
        <v>734</v>
      </c>
      <c r="D278" s="38" t="s">
        <v>431</v>
      </c>
      <c r="E278" s="37" t="s">
        <v>410</v>
      </c>
      <c r="F278" s="37" t="s">
        <v>411</v>
      </c>
      <c r="G278" s="1" t="s">
        <v>375</v>
      </c>
    </row>
    <row r="279">
      <c r="A279" s="37" t="s">
        <v>731</v>
      </c>
      <c r="B279" s="36">
        <v>2021.0</v>
      </c>
      <c r="C279" s="37" t="s">
        <v>735</v>
      </c>
      <c r="D279" s="38" t="s">
        <v>431</v>
      </c>
      <c r="E279" s="37" t="s">
        <v>410</v>
      </c>
      <c r="F279" s="37" t="s">
        <v>411</v>
      </c>
      <c r="G279" s="1" t="s">
        <v>375</v>
      </c>
    </row>
    <row r="280">
      <c r="A280" s="37" t="s">
        <v>731</v>
      </c>
      <c r="B280" s="36">
        <v>2021.0</v>
      </c>
      <c r="C280" s="37" t="s">
        <v>736</v>
      </c>
      <c r="D280" s="38" t="s">
        <v>431</v>
      </c>
      <c r="E280" s="37" t="s">
        <v>410</v>
      </c>
      <c r="F280" s="37" t="s">
        <v>411</v>
      </c>
      <c r="G280" s="1" t="s">
        <v>375</v>
      </c>
    </row>
    <row r="281">
      <c r="A281" s="37" t="s">
        <v>731</v>
      </c>
      <c r="B281" s="36">
        <v>2021.0</v>
      </c>
      <c r="C281" s="37" t="s">
        <v>737</v>
      </c>
      <c r="D281" s="38" t="s">
        <v>30</v>
      </c>
      <c r="E281" s="37" t="s">
        <v>379</v>
      </c>
      <c r="F281" s="37" t="s">
        <v>380</v>
      </c>
      <c r="G281" s="1" t="s">
        <v>375</v>
      </c>
    </row>
    <row r="282">
      <c r="A282" s="37" t="s">
        <v>731</v>
      </c>
      <c r="B282" s="36">
        <v>2021.0</v>
      </c>
      <c r="C282" s="37" t="s">
        <v>738</v>
      </c>
      <c r="D282" s="38" t="s">
        <v>30</v>
      </c>
      <c r="E282" s="37" t="s">
        <v>379</v>
      </c>
      <c r="F282" s="37" t="s">
        <v>380</v>
      </c>
      <c r="G282" s="1" t="s">
        <v>375</v>
      </c>
    </row>
    <row r="283">
      <c r="A283" s="37" t="s">
        <v>731</v>
      </c>
      <c r="B283" s="36">
        <v>2021.0</v>
      </c>
      <c r="C283" s="37" t="s">
        <v>494</v>
      </c>
      <c r="D283" s="38" t="s">
        <v>13</v>
      </c>
      <c r="E283" s="37" t="s">
        <v>427</v>
      </c>
      <c r="F283" s="37" t="s">
        <v>428</v>
      </c>
      <c r="G283" s="1" t="s">
        <v>375</v>
      </c>
    </row>
    <row r="284">
      <c r="A284" s="37" t="s">
        <v>731</v>
      </c>
      <c r="B284" s="36">
        <v>2021.0</v>
      </c>
      <c r="C284" s="37" t="s">
        <v>739</v>
      </c>
      <c r="D284" s="38" t="s">
        <v>740</v>
      </c>
      <c r="E284" s="37" t="s">
        <v>741</v>
      </c>
      <c r="F284" s="37" t="s">
        <v>742</v>
      </c>
      <c r="G284" s="1" t="s">
        <v>375</v>
      </c>
    </row>
    <row r="285">
      <c r="A285" s="37" t="s">
        <v>731</v>
      </c>
      <c r="B285" s="36">
        <v>2021.0</v>
      </c>
      <c r="C285" s="37" t="s">
        <v>743</v>
      </c>
      <c r="D285" s="38" t="s">
        <v>744</v>
      </c>
      <c r="E285" s="37" t="s">
        <v>410</v>
      </c>
      <c r="F285" s="37" t="s">
        <v>411</v>
      </c>
      <c r="G285" s="1" t="s">
        <v>375</v>
      </c>
    </row>
    <row r="286">
      <c r="A286" s="37" t="s">
        <v>745</v>
      </c>
      <c r="B286" s="36">
        <v>2018.0</v>
      </c>
      <c r="C286" s="37" t="s">
        <v>746</v>
      </c>
      <c r="D286" s="38" t="s">
        <v>434</v>
      </c>
      <c r="E286" s="37" t="s">
        <v>379</v>
      </c>
      <c r="F286" s="37" t="s">
        <v>380</v>
      </c>
      <c r="G286" s="1" t="s">
        <v>375</v>
      </c>
    </row>
    <row r="287">
      <c r="A287" s="37" t="s">
        <v>745</v>
      </c>
      <c r="B287" s="36">
        <v>2018.0</v>
      </c>
      <c r="C287" s="37" t="s">
        <v>747</v>
      </c>
      <c r="D287" s="38" t="s">
        <v>434</v>
      </c>
      <c r="E287" s="37" t="s">
        <v>379</v>
      </c>
      <c r="F287" s="37" t="s">
        <v>380</v>
      </c>
      <c r="G287" s="1" t="s">
        <v>375</v>
      </c>
    </row>
    <row r="288">
      <c r="A288" s="37" t="s">
        <v>748</v>
      </c>
      <c r="B288" s="36">
        <v>2018.0</v>
      </c>
      <c r="C288" s="37" t="s">
        <v>749</v>
      </c>
      <c r="D288" s="38" t="s">
        <v>434</v>
      </c>
      <c r="E288" s="37" t="s">
        <v>379</v>
      </c>
      <c r="F288" s="37" t="s">
        <v>380</v>
      </c>
      <c r="G288" s="1" t="s">
        <v>375</v>
      </c>
    </row>
    <row r="289">
      <c r="A289" s="37" t="s">
        <v>748</v>
      </c>
      <c r="B289" s="36">
        <v>2018.0</v>
      </c>
      <c r="C289" s="37" t="s">
        <v>750</v>
      </c>
      <c r="D289" s="38" t="s">
        <v>751</v>
      </c>
      <c r="E289" s="37" t="s">
        <v>379</v>
      </c>
      <c r="F289" s="37" t="s">
        <v>380</v>
      </c>
      <c r="G289" s="1" t="s">
        <v>375</v>
      </c>
    </row>
    <row r="290">
      <c r="A290" s="37" t="s">
        <v>752</v>
      </c>
      <c r="B290" s="36">
        <v>2018.0</v>
      </c>
      <c r="C290" s="37" t="s">
        <v>753</v>
      </c>
      <c r="D290" s="38" t="s">
        <v>19</v>
      </c>
      <c r="E290" s="37" t="s">
        <v>600</v>
      </c>
      <c r="F290" s="37" t="s">
        <v>601</v>
      </c>
      <c r="G290" s="1" t="s">
        <v>375</v>
      </c>
    </row>
    <row r="291">
      <c r="A291" s="37" t="s">
        <v>754</v>
      </c>
      <c r="B291" s="36">
        <v>2018.0</v>
      </c>
      <c r="C291" s="37" t="s">
        <v>755</v>
      </c>
      <c r="D291" s="38" t="s">
        <v>13</v>
      </c>
      <c r="E291" s="37" t="s">
        <v>427</v>
      </c>
      <c r="F291" s="37" t="s">
        <v>428</v>
      </c>
      <c r="G291" s="1" t="s">
        <v>375</v>
      </c>
    </row>
    <row r="292">
      <c r="A292" s="37" t="s">
        <v>754</v>
      </c>
      <c r="B292" s="36">
        <v>2018.0</v>
      </c>
      <c r="C292" s="37" t="s">
        <v>756</v>
      </c>
      <c r="D292" s="38" t="s">
        <v>13</v>
      </c>
      <c r="E292" s="37" t="s">
        <v>427</v>
      </c>
      <c r="F292" s="37" t="s">
        <v>428</v>
      </c>
      <c r="G292" s="1" t="s">
        <v>375</v>
      </c>
    </row>
    <row r="293">
      <c r="A293" s="37" t="s">
        <v>754</v>
      </c>
      <c r="B293" s="36">
        <v>2018.0</v>
      </c>
      <c r="C293" s="37" t="s">
        <v>757</v>
      </c>
      <c r="D293" s="38" t="s">
        <v>13</v>
      </c>
      <c r="E293" s="37" t="s">
        <v>427</v>
      </c>
      <c r="F293" s="37" t="s">
        <v>428</v>
      </c>
      <c r="G293" s="1" t="s">
        <v>375</v>
      </c>
    </row>
    <row r="294">
      <c r="A294" s="37" t="s">
        <v>754</v>
      </c>
      <c r="B294" s="36">
        <v>2018.0</v>
      </c>
      <c r="C294" s="37" t="s">
        <v>605</v>
      </c>
      <c r="D294" s="38" t="s">
        <v>13</v>
      </c>
      <c r="E294" s="37" t="s">
        <v>427</v>
      </c>
      <c r="F294" s="37" t="s">
        <v>428</v>
      </c>
      <c r="G294" s="1" t="s">
        <v>375</v>
      </c>
    </row>
    <row r="295">
      <c r="A295" s="37" t="s">
        <v>754</v>
      </c>
      <c r="B295" s="36">
        <v>2018.0</v>
      </c>
      <c r="C295" s="37" t="s">
        <v>606</v>
      </c>
      <c r="D295" s="38" t="s">
        <v>13</v>
      </c>
      <c r="E295" s="37" t="s">
        <v>427</v>
      </c>
      <c r="F295" s="37" t="s">
        <v>428</v>
      </c>
      <c r="G295" s="1" t="s">
        <v>375</v>
      </c>
    </row>
    <row r="296">
      <c r="A296" s="37" t="s">
        <v>758</v>
      </c>
      <c r="B296" s="36">
        <v>2018.0</v>
      </c>
      <c r="C296" s="37" t="s">
        <v>586</v>
      </c>
      <c r="D296" s="38" t="s">
        <v>759</v>
      </c>
      <c r="E296" s="37" t="s">
        <v>760</v>
      </c>
      <c r="F296" s="37" t="s">
        <v>390</v>
      </c>
      <c r="G296" s="1" t="s">
        <v>375</v>
      </c>
    </row>
    <row r="297">
      <c r="A297" s="37" t="s">
        <v>758</v>
      </c>
      <c r="B297" s="36">
        <v>2018.0</v>
      </c>
      <c r="C297" s="37" t="s">
        <v>761</v>
      </c>
      <c r="D297" s="38" t="s">
        <v>587</v>
      </c>
      <c r="E297" s="37" t="s">
        <v>509</v>
      </c>
      <c r="F297" s="37" t="s">
        <v>390</v>
      </c>
      <c r="G297" s="1" t="s">
        <v>375</v>
      </c>
    </row>
    <row r="298">
      <c r="A298" s="37" t="s">
        <v>758</v>
      </c>
      <c r="B298" s="36">
        <v>2018.0</v>
      </c>
      <c r="C298" s="37" t="s">
        <v>717</v>
      </c>
      <c r="D298" s="38" t="s">
        <v>36</v>
      </c>
      <c r="E298" s="37" t="s">
        <v>404</v>
      </c>
      <c r="F298" s="37" t="s">
        <v>405</v>
      </c>
      <c r="G298" s="1" t="s">
        <v>375</v>
      </c>
    </row>
    <row r="299">
      <c r="A299" s="37" t="s">
        <v>758</v>
      </c>
      <c r="B299" s="36">
        <v>2018.0</v>
      </c>
      <c r="C299" s="37" t="s">
        <v>762</v>
      </c>
      <c r="D299" s="38" t="s">
        <v>489</v>
      </c>
      <c r="E299" s="37" t="s">
        <v>490</v>
      </c>
      <c r="F299" s="37" t="s">
        <v>390</v>
      </c>
      <c r="G299" s="1" t="s">
        <v>375</v>
      </c>
    </row>
    <row r="300">
      <c r="A300" s="37" t="s">
        <v>763</v>
      </c>
      <c r="B300" s="36">
        <v>2018.0</v>
      </c>
      <c r="C300" s="37" t="s">
        <v>747</v>
      </c>
      <c r="D300" s="38" t="s">
        <v>434</v>
      </c>
      <c r="E300" s="37" t="s">
        <v>379</v>
      </c>
      <c r="F300" s="37" t="s">
        <v>380</v>
      </c>
      <c r="G300" s="1" t="s">
        <v>375</v>
      </c>
    </row>
    <row r="301">
      <c r="A301" s="37" t="s">
        <v>763</v>
      </c>
      <c r="B301" s="36">
        <v>2018.0</v>
      </c>
      <c r="C301" s="37" t="s">
        <v>746</v>
      </c>
      <c r="D301" s="38" t="s">
        <v>434</v>
      </c>
      <c r="E301" s="37" t="s">
        <v>379</v>
      </c>
      <c r="F301" s="37" t="s">
        <v>380</v>
      </c>
      <c r="G301" s="1" t="s">
        <v>375</v>
      </c>
    </row>
    <row r="302">
      <c r="A302" s="37" t="s">
        <v>763</v>
      </c>
      <c r="B302" s="36">
        <v>2018.0</v>
      </c>
      <c r="C302" s="37" t="s">
        <v>528</v>
      </c>
      <c r="D302" s="38" t="s">
        <v>434</v>
      </c>
      <c r="E302" s="37" t="s">
        <v>379</v>
      </c>
      <c r="F302" s="37" t="s">
        <v>380</v>
      </c>
      <c r="G302" s="1" t="s">
        <v>375</v>
      </c>
    </row>
    <row r="303">
      <c r="A303" s="37" t="s">
        <v>764</v>
      </c>
      <c r="B303" s="36">
        <v>2018.0</v>
      </c>
      <c r="C303" s="37" t="s">
        <v>765</v>
      </c>
      <c r="D303" s="38" t="s">
        <v>19</v>
      </c>
      <c r="E303" s="37" t="s">
        <v>600</v>
      </c>
      <c r="F303" s="37" t="s">
        <v>601</v>
      </c>
      <c r="G303" s="1" t="s">
        <v>375</v>
      </c>
    </row>
    <row r="304">
      <c r="A304" s="37" t="s">
        <v>764</v>
      </c>
      <c r="B304" s="36">
        <v>2018.0</v>
      </c>
      <c r="C304" s="37" t="s">
        <v>766</v>
      </c>
      <c r="D304" s="38" t="s">
        <v>19</v>
      </c>
      <c r="E304" s="37" t="s">
        <v>600</v>
      </c>
      <c r="F304" s="37" t="s">
        <v>601</v>
      </c>
      <c r="G304" s="1" t="s">
        <v>375</v>
      </c>
    </row>
    <row r="305">
      <c r="A305" s="37" t="s">
        <v>767</v>
      </c>
      <c r="B305" s="36">
        <v>2018.0</v>
      </c>
      <c r="C305" s="37" t="s">
        <v>768</v>
      </c>
      <c r="D305" s="38" t="s">
        <v>19</v>
      </c>
      <c r="E305" s="37" t="s">
        <v>600</v>
      </c>
      <c r="F305" s="37" t="s">
        <v>601</v>
      </c>
      <c r="G305" s="1" t="s">
        <v>375</v>
      </c>
    </row>
    <row r="306">
      <c r="A306" s="37" t="s">
        <v>769</v>
      </c>
      <c r="B306" s="36">
        <v>2018.0</v>
      </c>
      <c r="C306" s="37" t="s">
        <v>770</v>
      </c>
      <c r="D306" s="38" t="s">
        <v>19</v>
      </c>
      <c r="E306" s="37" t="s">
        <v>600</v>
      </c>
      <c r="F306" s="37" t="s">
        <v>601</v>
      </c>
      <c r="G306" s="1" t="s">
        <v>375</v>
      </c>
    </row>
    <row r="307">
      <c r="A307" s="37" t="s">
        <v>769</v>
      </c>
      <c r="B307" s="36">
        <v>2018.0</v>
      </c>
      <c r="C307" s="37" t="s">
        <v>771</v>
      </c>
      <c r="D307" s="38" t="s">
        <v>19</v>
      </c>
      <c r="E307" s="37" t="s">
        <v>600</v>
      </c>
      <c r="F307" s="37" t="s">
        <v>601</v>
      </c>
      <c r="G307" s="1" t="s">
        <v>375</v>
      </c>
    </row>
    <row r="308">
      <c r="A308" s="37" t="s">
        <v>772</v>
      </c>
      <c r="B308" s="36">
        <v>2018.0</v>
      </c>
      <c r="C308" s="37" t="s">
        <v>604</v>
      </c>
      <c r="D308" s="38" t="s">
        <v>13</v>
      </c>
      <c r="E308" s="37" t="s">
        <v>427</v>
      </c>
      <c r="F308" s="37" t="s">
        <v>428</v>
      </c>
      <c r="G308" s="1" t="s">
        <v>375</v>
      </c>
    </row>
    <row r="309">
      <c r="A309" s="37" t="s">
        <v>772</v>
      </c>
      <c r="B309" s="36">
        <v>2018.0</v>
      </c>
      <c r="C309" s="37" t="s">
        <v>605</v>
      </c>
      <c r="D309" s="38" t="s">
        <v>13</v>
      </c>
      <c r="E309" s="37" t="s">
        <v>427</v>
      </c>
      <c r="F309" s="37" t="s">
        <v>428</v>
      </c>
      <c r="G309" s="1" t="s">
        <v>375</v>
      </c>
    </row>
    <row r="310">
      <c r="A310" s="37" t="s">
        <v>772</v>
      </c>
      <c r="B310" s="36">
        <v>2018.0</v>
      </c>
      <c r="C310" s="37" t="s">
        <v>606</v>
      </c>
      <c r="D310" s="38" t="s">
        <v>13</v>
      </c>
      <c r="E310" s="37" t="s">
        <v>427</v>
      </c>
      <c r="F310" s="37" t="s">
        <v>428</v>
      </c>
      <c r="G310" s="1" t="s">
        <v>375</v>
      </c>
    </row>
    <row r="311">
      <c r="A311" s="37" t="s">
        <v>773</v>
      </c>
      <c r="B311" s="36">
        <v>2018.0</v>
      </c>
      <c r="C311" s="37" t="s">
        <v>774</v>
      </c>
      <c r="D311" s="38" t="s">
        <v>489</v>
      </c>
      <c r="E311" s="37" t="s">
        <v>490</v>
      </c>
      <c r="F311" s="37" t="s">
        <v>390</v>
      </c>
      <c r="G311" s="1" t="s">
        <v>375</v>
      </c>
    </row>
    <row r="312">
      <c r="A312" s="37" t="s">
        <v>773</v>
      </c>
      <c r="B312" s="36">
        <v>2018.0</v>
      </c>
      <c r="C312" s="37" t="s">
        <v>775</v>
      </c>
      <c r="D312" s="38" t="s">
        <v>13</v>
      </c>
      <c r="E312" s="37" t="s">
        <v>427</v>
      </c>
      <c r="F312" s="37" t="s">
        <v>428</v>
      </c>
      <c r="G312" s="1" t="s">
        <v>375</v>
      </c>
    </row>
    <row r="313">
      <c r="A313" s="37" t="s">
        <v>773</v>
      </c>
      <c r="B313" s="36">
        <v>2018.0</v>
      </c>
      <c r="C313" s="37" t="s">
        <v>776</v>
      </c>
      <c r="D313" s="38" t="s">
        <v>489</v>
      </c>
      <c r="E313" s="37" t="s">
        <v>490</v>
      </c>
      <c r="F313" s="37" t="s">
        <v>390</v>
      </c>
      <c r="G313" s="1" t="s">
        <v>375</v>
      </c>
    </row>
    <row r="314">
      <c r="A314" s="37" t="s">
        <v>777</v>
      </c>
      <c r="B314" s="36">
        <v>2018.0</v>
      </c>
      <c r="C314" s="37" t="s">
        <v>778</v>
      </c>
      <c r="D314" s="38" t="s">
        <v>434</v>
      </c>
      <c r="E314" s="37" t="s">
        <v>379</v>
      </c>
      <c r="F314" s="37" t="s">
        <v>380</v>
      </c>
      <c r="G314" s="1" t="s">
        <v>375</v>
      </c>
    </row>
    <row r="315">
      <c r="A315" s="37" t="s">
        <v>777</v>
      </c>
      <c r="B315" s="36">
        <v>2018.0</v>
      </c>
      <c r="C315" s="37" t="s">
        <v>714</v>
      </c>
      <c r="D315" s="38" t="s">
        <v>434</v>
      </c>
      <c r="E315" s="37" t="s">
        <v>379</v>
      </c>
      <c r="F315" s="37" t="s">
        <v>380</v>
      </c>
      <c r="G315" s="1" t="s">
        <v>375</v>
      </c>
    </row>
    <row r="316">
      <c r="A316" s="37" t="s">
        <v>777</v>
      </c>
      <c r="B316" s="36">
        <v>2018.0</v>
      </c>
      <c r="C316" s="37" t="s">
        <v>779</v>
      </c>
      <c r="D316" s="38" t="s">
        <v>434</v>
      </c>
      <c r="E316" s="37" t="s">
        <v>379</v>
      </c>
      <c r="F316" s="37" t="s">
        <v>380</v>
      </c>
      <c r="G316" s="1" t="s">
        <v>375</v>
      </c>
    </row>
    <row r="317">
      <c r="A317" s="37" t="s">
        <v>780</v>
      </c>
      <c r="B317" s="36">
        <v>2018.0</v>
      </c>
      <c r="C317" s="37" t="s">
        <v>582</v>
      </c>
      <c r="D317" s="38" t="s">
        <v>579</v>
      </c>
      <c r="E317" s="37" t="s">
        <v>580</v>
      </c>
      <c r="F317" s="37" t="s">
        <v>395</v>
      </c>
      <c r="G317" s="1" t="s">
        <v>375</v>
      </c>
    </row>
    <row r="318">
      <c r="A318" s="37" t="s">
        <v>780</v>
      </c>
      <c r="B318" s="36">
        <v>2018.0</v>
      </c>
      <c r="C318" s="37" t="s">
        <v>581</v>
      </c>
      <c r="D318" s="38" t="s">
        <v>579</v>
      </c>
      <c r="E318" s="37" t="s">
        <v>580</v>
      </c>
      <c r="F318" s="37" t="s">
        <v>395</v>
      </c>
      <c r="G318" s="1" t="s">
        <v>375</v>
      </c>
    </row>
    <row r="319">
      <c r="A319" s="37" t="s">
        <v>780</v>
      </c>
      <c r="B319" s="36">
        <v>2018.0</v>
      </c>
      <c r="C319" s="37" t="s">
        <v>578</v>
      </c>
      <c r="D319" s="38" t="s">
        <v>579</v>
      </c>
      <c r="E319" s="37" t="s">
        <v>580</v>
      </c>
      <c r="F319" s="37" t="s">
        <v>395</v>
      </c>
      <c r="G319" s="1" t="s">
        <v>375</v>
      </c>
    </row>
    <row r="320">
      <c r="A320" s="37" t="s">
        <v>780</v>
      </c>
      <c r="B320" s="36">
        <v>2018.0</v>
      </c>
      <c r="C320" s="37" t="s">
        <v>781</v>
      </c>
      <c r="D320" s="38" t="s">
        <v>579</v>
      </c>
      <c r="E320" s="37" t="s">
        <v>580</v>
      </c>
      <c r="F320" s="37" t="s">
        <v>395</v>
      </c>
      <c r="G320" s="1" t="s">
        <v>375</v>
      </c>
    </row>
    <row r="321">
      <c r="A321" s="37" t="s">
        <v>780</v>
      </c>
      <c r="B321" s="36">
        <v>2018.0</v>
      </c>
      <c r="C321" s="37" t="s">
        <v>583</v>
      </c>
      <c r="D321" s="38" t="s">
        <v>579</v>
      </c>
      <c r="E321" s="37" t="s">
        <v>580</v>
      </c>
      <c r="F321" s="37" t="s">
        <v>395</v>
      </c>
      <c r="G321" s="1" t="s">
        <v>375</v>
      </c>
    </row>
    <row r="322">
      <c r="A322" s="37" t="s">
        <v>780</v>
      </c>
      <c r="B322" s="36">
        <v>2018.0</v>
      </c>
      <c r="C322" s="37" t="s">
        <v>584</v>
      </c>
      <c r="D322" s="38" t="s">
        <v>579</v>
      </c>
      <c r="E322" s="37" t="s">
        <v>580</v>
      </c>
      <c r="F322" s="37" t="s">
        <v>395</v>
      </c>
      <c r="G322" s="1" t="s">
        <v>375</v>
      </c>
    </row>
    <row r="323">
      <c r="A323" s="37" t="s">
        <v>782</v>
      </c>
      <c r="B323" s="36">
        <v>2018.0</v>
      </c>
      <c r="C323" s="37" t="s">
        <v>783</v>
      </c>
      <c r="D323" s="38" t="s">
        <v>13</v>
      </c>
      <c r="E323" s="37" t="s">
        <v>427</v>
      </c>
      <c r="F323" s="37" t="s">
        <v>428</v>
      </c>
      <c r="G323" s="1" t="s">
        <v>375</v>
      </c>
    </row>
    <row r="324">
      <c r="A324" s="37" t="s">
        <v>782</v>
      </c>
      <c r="B324" s="36">
        <v>2018.0</v>
      </c>
      <c r="C324" s="37" t="s">
        <v>784</v>
      </c>
      <c r="D324" s="38" t="s">
        <v>13</v>
      </c>
      <c r="E324" s="37" t="s">
        <v>427</v>
      </c>
      <c r="F324" s="37" t="s">
        <v>428</v>
      </c>
      <c r="G324" s="1" t="s">
        <v>375</v>
      </c>
    </row>
    <row r="325">
      <c r="A325" s="37" t="s">
        <v>785</v>
      </c>
      <c r="B325" s="36">
        <v>2018.0</v>
      </c>
      <c r="C325" s="37" t="s">
        <v>786</v>
      </c>
      <c r="D325" s="38" t="s">
        <v>19</v>
      </c>
      <c r="E325" s="37" t="s">
        <v>600</v>
      </c>
      <c r="F325" s="37" t="s">
        <v>601</v>
      </c>
      <c r="G325" s="1" t="s">
        <v>375</v>
      </c>
    </row>
    <row r="326">
      <c r="A326" s="37" t="s">
        <v>785</v>
      </c>
      <c r="B326" s="36">
        <v>2018.0</v>
      </c>
      <c r="C326" s="37" t="s">
        <v>787</v>
      </c>
      <c r="D326" s="38" t="s">
        <v>19</v>
      </c>
      <c r="E326" s="37" t="s">
        <v>600</v>
      </c>
      <c r="F326" s="37" t="s">
        <v>601</v>
      </c>
      <c r="G326" s="1" t="s">
        <v>375</v>
      </c>
    </row>
    <row r="327">
      <c r="A327" s="37" t="s">
        <v>785</v>
      </c>
      <c r="B327" s="36">
        <v>2018.0</v>
      </c>
      <c r="C327" s="37" t="s">
        <v>788</v>
      </c>
      <c r="D327" s="38" t="s">
        <v>19</v>
      </c>
      <c r="E327" s="37" t="s">
        <v>600</v>
      </c>
      <c r="F327" s="37" t="s">
        <v>601</v>
      </c>
      <c r="G327" s="1" t="s">
        <v>375</v>
      </c>
    </row>
    <row r="328">
      <c r="A328" s="37" t="s">
        <v>785</v>
      </c>
      <c r="B328" s="36">
        <v>2018.0</v>
      </c>
      <c r="C328" s="37" t="s">
        <v>789</v>
      </c>
      <c r="D328" s="38" t="s">
        <v>19</v>
      </c>
      <c r="E328" s="37" t="s">
        <v>600</v>
      </c>
      <c r="F328" s="37" t="s">
        <v>601</v>
      </c>
      <c r="G328" s="1" t="s">
        <v>375</v>
      </c>
    </row>
    <row r="329">
      <c r="A329" s="37" t="s">
        <v>790</v>
      </c>
      <c r="B329" s="36">
        <v>2018.0</v>
      </c>
      <c r="C329" s="37" t="s">
        <v>791</v>
      </c>
      <c r="D329" s="38" t="s">
        <v>13</v>
      </c>
      <c r="E329" s="37" t="s">
        <v>427</v>
      </c>
      <c r="F329" s="37" t="s">
        <v>428</v>
      </c>
      <c r="G329" s="1" t="s">
        <v>375</v>
      </c>
    </row>
    <row r="330">
      <c r="A330" s="37" t="s">
        <v>790</v>
      </c>
      <c r="B330" s="36">
        <v>2018.0</v>
      </c>
      <c r="C330" s="37" t="s">
        <v>792</v>
      </c>
      <c r="D330" s="38" t="s">
        <v>13</v>
      </c>
      <c r="E330" s="37" t="s">
        <v>427</v>
      </c>
      <c r="F330" s="37" t="s">
        <v>428</v>
      </c>
      <c r="G330" s="1" t="s">
        <v>375</v>
      </c>
    </row>
    <row r="331">
      <c r="A331" s="37" t="s">
        <v>790</v>
      </c>
      <c r="B331" s="36">
        <v>2018.0</v>
      </c>
      <c r="C331" s="37" t="s">
        <v>793</v>
      </c>
      <c r="D331" s="38" t="s">
        <v>13</v>
      </c>
      <c r="E331" s="37" t="s">
        <v>427</v>
      </c>
      <c r="F331" s="37" t="s">
        <v>428</v>
      </c>
      <c r="G331" s="1" t="s">
        <v>375</v>
      </c>
    </row>
    <row r="332">
      <c r="A332" s="37" t="s">
        <v>794</v>
      </c>
      <c r="B332" s="36">
        <v>2018.0</v>
      </c>
      <c r="C332" s="37" t="s">
        <v>795</v>
      </c>
      <c r="D332" s="38" t="s">
        <v>13</v>
      </c>
      <c r="E332" s="37" t="s">
        <v>427</v>
      </c>
      <c r="F332" s="37" t="s">
        <v>428</v>
      </c>
      <c r="G332" s="1" t="s">
        <v>375</v>
      </c>
    </row>
    <row r="333">
      <c r="A333" s="37" t="s">
        <v>794</v>
      </c>
      <c r="B333" s="36">
        <v>2018.0</v>
      </c>
      <c r="C333" s="37" t="s">
        <v>796</v>
      </c>
      <c r="D333" s="38" t="s">
        <v>13</v>
      </c>
      <c r="E333" s="37" t="s">
        <v>427</v>
      </c>
      <c r="F333" s="37" t="s">
        <v>428</v>
      </c>
      <c r="G333" s="1" t="s">
        <v>375</v>
      </c>
    </row>
    <row r="334">
      <c r="A334" s="37" t="s">
        <v>794</v>
      </c>
      <c r="B334" s="36">
        <v>2018.0</v>
      </c>
      <c r="C334" s="37" t="s">
        <v>783</v>
      </c>
      <c r="D334" s="38" t="s">
        <v>13</v>
      </c>
      <c r="E334" s="37" t="s">
        <v>427</v>
      </c>
      <c r="F334" s="37" t="s">
        <v>428</v>
      </c>
      <c r="G334" s="1" t="s">
        <v>375</v>
      </c>
    </row>
    <row r="335">
      <c r="A335" s="37" t="s">
        <v>797</v>
      </c>
      <c r="B335" s="36">
        <v>2018.0</v>
      </c>
      <c r="C335" s="37" t="s">
        <v>798</v>
      </c>
      <c r="D335" s="38" t="s">
        <v>799</v>
      </c>
      <c r="E335" s="37" t="s">
        <v>600</v>
      </c>
      <c r="F335" s="37" t="s">
        <v>601</v>
      </c>
      <c r="G335" s="1" t="s">
        <v>375</v>
      </c>
    </row>
    <row r="336">
      <c r="A336" s="37" t="s">
        <v>797</v>
      </c>
      <c r="B336" s="36">
        <v>2018.0</v>
      </c>
      <c r="C336" s="37" t="s">
        <v>800</v>
      </c>
      <c r="D336" s="38" t="s">
        <v>799</v>
      </c>
      <c r="E336" s="37" t="s">
        <v>600</v>
      </c>
      <c r="F336" s="37" t="s">
        <v>601</v>
      </c>
      <c r="G336" s="1" t="s">
        <v>375</v>
      </c>
    </row>
    <row r="337">
      <c r="A337" s="37" t="s">
        <v>797</v>
      </c>
      <c r="B337" s="36">
        <v>2018.0</v>
      </c>
      <c r="C337" s="37" t="s">
        <v>801</v>
      </c>
      <c r="D337" s="38" t="s">
        <v>799</v>
      </c>
      <c r="E337" s="37" t="s">
        <v>600</v>
      </c>
      <c r="F337" s="37" t="s">
        <v>601</v>
      </c>
      <c r="G337" s="1" t="s">
        <v>375</v>
      </c>
    </row>
    <row r="338">
      <c r="A338" s="37" t="s">
        <v>802</v>
      </c>
      <c r="B338" s="36">
        <v>2018.0</v>
      </c>
      <c r="C338" s="37" t="s">
        <v>572</v>
      </c>
      <c r="D338" s="38" t="s">
        <v>803</v>
      </c>
      <c r="E338" s="37" t="s">
        <v>804</v>
      </c>
      <c r="F338" s="37" t="s">
        <v>399</v>
      </c>
      <c r="G338" s="1" t="s">
        <v>696</v>
      </c>
    </row>
    <row r="339">
      <c r="A339" s="37" t="s">
        <v>802</v>
      </c>
      <c r="B339" s="36">
        <v>2018.0</v>
      </c>
      <c r="C339" s="37" t="s">
        <v>572</v>
      </c>
      <c r="D339" s="38" t="s">
        <v>553</v>
      </c>
      <c r="E339" s="37" t="s">
        <v>554</v>
      </c>
      <c r="F339" s="37" t="s">
        <v>555</v>
      </c>
      <c r="G339" s="1" t="s">
        <v>375</v>
      </c>
    </row>
    <row r="340">
      <c r="A340" s="37" t="s">
        <v>805</v>
      </c>
      <c r="B340" s="36">
        <v>2018.0</v>
      </c>
      <c r="C340" s="37" t="s">
        <v>806</v>
      </c>
      <c r="D340" s="38" t="s">
        <v>19</v>
      </c>
      <c r="E340" s="37" t="s">
        <v>600</v>
      </c>
      <c r="F340" s="37" t="s">
        <v>601</v>
      </c>
      <c r="G340" s="1" t="s">
        <v>375</v>
      </c>
    </row>
    <row r="341">
      <c r="A341" s="37" t="s">
        <v>805</v>
      </c>
      <c r="B341" s="36">
        <v>2018.0</v>
      </c>
      <c r="C341" s="37" t="s">
        <v>807</v>
      </c>
      <c r="D341" s="38" t="s">
        <v>19</v>
      </c>
      <c r="E341" s="37" t="s">
        <v>600</v>
      </c>
      <c r="F341" s="37" t="s">
        <v>601</v>
      </c>
      <c r="G341" s="1" t="s">
        <v>375</v>
      </c>
    </row>
    <row r="342">
      <c r="A342" s="37" t="s">
        <v>805</v>
      </c>
      <c r="B342" s="36">
        <v>2018.0</v>
      </c>
      <c r="C342" s="37" t="s">
        <v>808</v>
      </c>
      <c r="D342" s="38" t="s">
        <v>19</v>
      </c>
      <c r="E342" s="37" t="s">
        <v>600</v>
      </c>
      <c r="F342" s="37" t="s">
        <v>601</v>
      </c>
      <c r="G342" s="1" t="s">
        <v>375</v>
      </c>
    </row>
    <row r="343">
      <c r="A343" s="37" t="s">
        <v>805</v>
      </c>
      <c r="B343" s="36">
        <v>2018.0</v>
      </c>
      <c r="C343" s="37" t="s">
        <v>809</v>
      </c>
      <c r="D343" s="38" t="s">
        <v>19</v>
      </c>
      <c r="E343" s="37" t="s">
        <v>600</v>
      </c>
      <c r="F343" s="37" t="s">
        <v>601</v>
      </c>
      <c r="G343" s="1" t="s">
        <v>375</v>
      </c>
    </row>
    <row r="344">
      <c r="A344" s="37" t="s">
        <v>805</v>
      </c>
      <c r="B344" s="36">
        <v>2018.0</v>
      </c>
      <c r="C344" s="37" t="s">
        <v>810</v>
      </c>
      <c r="D344" s="38" t="s">
        <v>19</v>
      </c>
      <c r="E344" s="37" t="s">
        <v>600</v>
      </c>
      <c r="F344" s="37" t="s">
        <v>601</v>
      </c>
      <c r="G344" s="1" t="s">
        <v>375</v>
      </c>
    </row>
    <row r="345">
      <c r="A345" s="37" t="s">
        <v>811</v>
      </c>
      <c r="B345" s="36">
        <v>2018.0</v>
      </c>
      <c r="C345" s="37" t="s">
        <v>812</v>
      </c>
      <c r="D345" s="38" t="s">
        <v>434</v>
      </c>
      <c r="E345" s="37" t="s">
        <v>379</v>
      </c>
      <c r="F345" s="37" t="s">
        <v>380</v>
      </c>
      <c r="G345" s="1" t="s">
        <v>375</v>
      </c>
    </row>
    <row r="346">
      <c r="A346" s="37" t="s">
        <v>811</v>
      </c>
      <c r="B346" s="36">
        <v>2018.0</v>
      </c>
      <c r="C346" s="37" t="s">
        <v>813</v>
      </c>
      <c r="D346" s="38" t="s">
        <v>434</v>
      </c>
      <c r="E346" s="37" t="s">
        <v>379</v>
      </c>
      <c r="F346" s="37" t="s">
        <v>380</v>
      </c>
      <c r="G346" s="1" t="s">
        <v>375</v>
      </c>
    </row>
    <row r="347">
      <c r="A347" s="37" t="s">
        <v>814</v>
      </c>
      <c r="B347" s="36">
        <v>2018.0</v>
      </c>
      <c r="C347" s="37" t="s">
        <v>815</v>
      </c>
      <c r="D347" s="38" t="s">
        <v>434</v>
      </c>
      <c r="E347" s="37" t="s">
        <v>379</v>
      </c>
      <c r="F347" s="37" t="s">
        <v>380</v>
      </c>
      <c r="G347" s="1" t="s">
        <v>375</v>
      </c>
    </row>
    <row r="348">
      <c r="A348" s="37" t="s">
        <v>814</v>
      </c>
      <c r="B348" s="36">
        <v>2018.0</v>
      </c>
      <c r="C348" s="37" t="s">
        <v>816</v>
      </c>
      <c r="D348" s="38" t="s">
        <v>434</v>
      </c>
      <c r="E348" s="37" t="s">
        <v>379</v>
      </c>
      <c r="F348" s="37" t="s">
        <v>380</v>
      </c>
      <c r="G348" s="1" t="s">
        <v>375</v>
      </c>
    </row>
    <row r="349">
      <c r="A349" s="37" t="s">
        <v>817</v>
      </c>
      <c r="B349" s="36">
        <v>2018.0</v>
      </c>
      <c r="C349" s="37" t="s">
        <v>818</v>
      </c>
      <c r="D349" s="38" t="s">
        <v>13</v>
      </c>
      <c r="E349" s="37" t="s">
        <v>427</v>
      </c>
      <c r="F349" s="37" t="s">
        <v>428</v>
      </c>
      <c r="G349" s="1" t="s">
        <v>375</v>
      </c>
    </row>
    <row r="350">
      <c r="A350" s="37" t="s">
        <v>817</v>
      </c>
      <c r="B350" s="36">
        <v>2018.0</v>
      </c>
      <c r="C350" s="37" t="s">
        <v>685</v>
      </c>
      <c r="D350" s="38" t="s">
        <v>13</v>
      </c>
      <c r="E350" s="37" t="s">
        <v>427</v>
      </c>
      <c r="F350" s="37" t="s">
        <v>428</v>
      </c>
      <c r="G350" s="1" t="s">
        <v>375</v>
      </c>
    </row>
    <row r="351">
      <c r="A351" s="37" t="s">
        <v>819</v>
      </c>
      <c r="B351" s="36">
        <v>2018.0</v>
      </c>
      <c r="C351" s="37" t="s">
        <v>440</v>
      </c>
      <c r="D351" s="38" t="s">
        <v>820</v>
      </c>
      <c r="E351" s="37" t="s">
        <v>600</v>
      </c>
      <c r="F351" s="37" t="s">
        <v>601</v>
      </c>
      <c r="G351" s="1" t="s">
        <v>375</v>
      </c>
    </row>
    <row r="352">
      <c r="A352" s="37" t="s">
        <v>819</v>
      </c>
      <c r="B352" s="36">
        <v>2018.0</v>
      </c>
      <c r="C352" s="37" t="s">
        <v>821</v>
      </c>
      <c r="D352" s="38" t="s">
        <v>820</v>
      </c>
      <c r="E352" s="37" t="s">
        <v>600</v>
      </c>
      <c r="F352" s="37" t="s">
        <v>601</v>
      </c>
      <c r="G352" s="1" t="s">
        <v>375</v>
      </c>
    </row>
    <row r="353">
      <c r="A353" s="37" t="s">
        <v>819</v>
      </c>
      <c r="B353" s="36">
        <v>2018.0</v>
      </c>
      <c r="C353" s="37" t="s">
        <v>576</v>
      </c>
      <c r="D353" s="38" t="s">
        <v>19</v>
      </c>
      <c r="E353" s="37" t="s">
        <v>600</v>
      </c>
      <c r="F353" s="37" t="s">
        <v>601</v>
      </c>
      <c r="G353" s="1" t="s">
        <v>375</v>
      </c>
    </row>
    <row r="354">
      <c r="A354" s="37" t="s">
        <v>822</v>
      </c>
      <c r="B354" s="36">
        <v>2018.0</v>
      </c>
      <c r="C354" s="37" t="s">
        <v>823</v>
      </c>
      <c r="D354" s="38" t="s">
        <v>489</v>
      </c>
      <c r="E354" s="37" t="s">
        <v>490</v>
      </c>
      <c r="F354" s="37" t="s">
        <v>390</v>
      </c>
      <c r="G354" s="1" t="s">
        <v>375</v>
      </c>
    </row>
    <row r="355">
      <c r="A355" s="37" t="s">
        <v>824</v>
      </c>
      <c r="B355" s="36">
        <v>2018.0</v>
      </c>
      <c r="C355" s="37" t="s">
        <v>825</v>
      </c>
      <c r="D355" s="38" t="s">
        <v>489</v>
      </c>
      <c r="E355" s="37" t="s">
        <v>490</v>
      </c>
      <c r="F355" s="37" t="s">
        <v>390</v>
      </c>
      <c r="G355" s="1" t="s">
        <v>375</v>
      </c>
    </row>
    <row r="356">
      <c r="A356" s="37" t="s">
        <v>824</v>
      </c>
      <c r="B356" s="36">
        <v>2018.0</v>
      </c>
      <c r="C356" s="37" t="s">
        <v>826</v>
      </c>
      <c r="D356" s="38" t="s">
        <v>489</v>
      </c>
      <c r="E356" s="37" t="s">
        <v>490</v>
      </c>
      <c r="F356" s="37" t="s">
        <v>390</v>
      </c>
      <c r="G356" s="1" t="s">
        <v>375</v>
      </c>
    </row>
    <row r="357">
      <c r="A357" s="37" t="s">
        <v>824</v>
      </c>
      <c r="B357" s="36">
        <v>2018.0</v>
      </c>
      <c r="C357" s="37" t="s">
        <v>669</v>
      </c>
      <c r="D357" s="38" t="s">
        <v>827</v>
      </c>
      <c r="E357" s="37" t="s">
        <v>828</v>
      </c>
      <c r="F357" s="37" t="s">
        <v>405</v>
      </c>
      <c r="G357" s="1" t="s">
        <v>375</v>
      </c>
    </row>
    <row r="358">
      <c r="A358" s="37" t="s">
        <v>824</v>
      </c>
      <c r="B358" s="36">
        <v>2018.0</v>
      </c>
      <c r="C358" s="37" t="s">
        <v>630</v>
      </c>
      <c r="D358" s="38" t="s">
        <v>489</v>
      </c>
      <c r="E358" s="37" t="s">
        <v>490</v>
      </c>
      <c r="F358" s="37" t="s">
        <v>390</v>
      </c>
      <c r="G358" s="1" t="s">
        <v>375</v>
      </c>
    </row>
    <row r="359">
      <c r="A359" s="37" t="s">
        <v>829</v>
      </c>
      <c r="B359" s="36">
        <v>2018.0</v>
      </c>
      <c r="C359" s="37" t="s">
        <v>830</v>
      </c>
      <c r="D359" s="38" t="s">
        <v>382</v>
      </c>
      <c r="E359" s="37" t="s">
        <v>383</v>
      </c>
      <c r="F359" s="37" t="s">
        <v>384</v>
      </c>
      <c r="G359" s="1" t="s">
        <v>375</v>
      </c>
    </row>
    <row r="360">
      <c r="A360" s="37" t="s">
        <v>831</v>
      </c>
      <c r="B360" s="36">
        <v>2018.0</v>
      </c>
      <c r="C360" s="37" t="s">
        <v>832</v>
      </c>
      <c r="D360" s="38" t="s">
        <v>19</v>
      </c>
      <c r="E360" s="37" t="s">
        <v>600</v>
      </c>
      <c r="F360" s="37" t="s">
        <v>601</v>
      </c>
      <c r="G360" s="1" t="s">
        <v>375</v>
      </c>
    </row>
    <row r="361">
      <c r="A361" s="37" t="s">
        <v>831</v>
      </c>
      <c r="B361" s="36">
        <v>2018.0</v>
      </c>
      <c r="C361" s="37" t="s">
        <v>833</v>
      </c>
      <c r="D361" s="38" t="s">
        <v>19</v>
      </c>
      <c r="E361" s="37" t="s">
        <v>600</v>
      </c>
      <c r="F361" s="37" t="s">
        <v>601</v>
      </c>
      <c r="G361" s="1" t="s">
        <v>375</v>
      </c>
    </row>
    <row r="362">
      <c r="A362" s="37" t="s">
        <v>831</v>
      </c>
      <c r="B362" s="36">
        <v>2018.0</v>
      </c>
      <c r="C362" s="37" t="s">
        <v>834</v>
      </c>
      <c r="D362" s="38" t="s">
        <v>19</v>
      </c>
      <c r="E362" s="37" t="s">
        <v>600</v>
      </c>
      <c r="F362" s="37" t="s">
        <v>601</v>
      </c>
      <c r="G362" s="1" t="s">
        <v>375</v>
      </c>
    </row>
    <row r="363">
      <c r="A363" s="37" t="s">
        <v>835</v>
      </c>
      <c r="B363" s="36">
        <v>2018.0</v>
      </c>
      <c r="C363" s="37" t="s">
        <v>766</v>
      </c>
      <c r="D363" s="38" t="s">
        <v>19</v>
      </c>
      <c r="E363" s="37" t="s">
        <v>600</v>
      </c>
      <c r="F363" s="37" t="s">
        <v>601</v>
      </c>
      <c r="G363" s="1" t="s">
        <v>375</v>
      </c>
    </row>
    <row r="364">
      <c r="A364" s="37" t="s">
        <v>836</v>
      </c>
      <c r="B364" s="36">
        <v>2018.0</v>
      </c>
      <c r="C364" s="37" t="s">
        <v>837</v>
      </c>
      <c r="D364" s="38" t="s">
        <v>19</v>
      </c>
      <c r="E364" s="37" t="s">
        <v>600</v>
      </c>
      <c r="F364" s="37" t="s">
        <v>601</v>
      </c>
      <c r="G364" s="1" t="s">
        <v>375</v>
      </c>
    </row>
    <row r="365">
      <c r="A365" s="37" t="s">
        <v>836</v>
      </c>
      <c r="B365" s="36">
        <v>2018.0</v>
      </c>
      <c r="C365" s="37" t="s">
        <v>838</v>
      </c>
      <c r="D365" s="38" t="s">
        <v>19</v>
      </c>
      <c r="E365" s="37" t="s">
        <v>600</v>
      </c>
      <c r="F365" s="37" t="s">
        <v>601</v>
      </c>
      <c r="G365" s="1" t="s">
        <v>375</v>
      </c>
    </row>
    <row r="366">
      <c r="A366" s="37" t="s">
        <v>839</v>
      </c>
      <c r="B366" s="36">
        <v>2018.0</v>
      </c>
      <c r="C366" s="37" t="s">
        <v>840</v>
      </c>
      <c r="D366" s="38" t="s">
        <v>13</v>
      </c>
      <c r="E366" s="37" t="s">
        <v>427</v>
      </c>
      <c r="F366" s="37" t="s">
        <v>428</v>
      </c>
      <c r="G366" s="1" t="s">
        <v>375</v>
      </c>
    </row>
    <row r="367">
      <c r="A367" s="37" t="s">
        <v>839</v>
      </c>
      <c r="B367" s="36">
        <v>2018.0</v>
      </c>
      <c r="C367" s="37" t="s">
        <v>841</v>
      </c>
      <c r="D367" s="38" t="s">
        <v>13</v>
      </c>
      <c r="E367" s="37" t="s">
        <v>427</v>
      </c>
      <c r="F367" s="37" t="s">
        <v>428</v>
      </c>
      <c r="G367" s="1" t="s">
        <v>375</v>
      </c>
    </row>
    <row r="368">
      <c r="A368" s="37" t="s">
        <v>839</v>
      </c>
      <c r="B368" s="36">
        <v>2018.0</v>
      </c>
      <c r="C368" s="37" t="s">
        <v>842</v>
      </c>
      <c r="D368" s="38" t="s">
        <v>13</v>
      </c>
      <c r="E368" s="37" t="s">
        <v>427</v>
      </c>
      <c r="F368" s="37" t="s">
        <v>428</v>
      </c>
      <c r="G368" s="1" t="s">
        <v>375</v>
      </c>
    </row>
    <row r="369">
      <c r="A369" s="37" t="s">
        <v>839</v>
      </c>
      <c r="B369" s="36">
        <v>2018.0</v>
      </c>
      <c r="C369" s="37" t="s">
        <v>843</v>
      </c>
      <c r="D369" s="38" t="s">
        <v>844</v>
      </c>
      <c r="E369" s="37" t="s">
        <v>427</v>
      </c>
      <c r="F369" s="37" t="s">
        <v>428</v>
      </c>
      <c r="G369" s="1" t="s">
        <v>375</v>
      </c>
    </row>
    <row r="370">
      <c r="A370" s="37" t="s">
        <v>839</v>
      </c>
      <c r="B370" s="36">
        <v>2018.0</v>
      </c>
      <c r="C370" s="37" t="s">
        <v>845</v>
      </c>
      <c r="D370" s="38" t="s">
        <v>13</v>
      </c>
      <c r="E370" s="37" t="s">
        <v>427</v>
      </c>
      <c r="F370" s="37" t="s">
        <v>428</v>
      </c>
      <c r="G370" s="1" t="s">
        <v>375</v>
      </c>
    </row>
    <row r="371">
      <c r="A371" s="37" t="s">
        <v>839</v>
      </c>
      <c r="B371" s="36">
        <v>2018.0</v>
      </c>
      <c r="C371" s="37" t="s">
        <v>606</v>
      </c>
      <c r="D371" s="38" t="s">
        <v>13</v>
      </c>
      <c r="E371" s="37" t="s">
        <v>427</v>
      </c>
      <c r="F371" s="37" t="s">
        <v>428</v>
      </c>
      <c r="G371" s="1" t="s">
        <v>375</v>
      </c>
    </row>
    <row r="372">
      <c r="A372" s="37" t="s">
        <v>846</v>
      </c>
      <c r="B372" s="36">
        <v>2018.0</v>
      </c>
      <c r="C372" s="37" t="s">
        <v>847</v>
      </c>
      <c r="D372" s="38" t="s">
        <v>848</v>
      </c>
      <c r="E372" s="37" t="s">
        <v>849</v>
      </c>
      <c r="F372" s="37" t="s">
        <v>399</v>
      </c>
      <c r="G372" s="1" t="s">
        <v>696</v>
      </c>
    </row>
    <row r="373">
      <c r="A373" s="37" t="s">
        <v>850</v>
      </c>
      <c r="B373" s="36">
        <v>2018.0</v>
      </c>
      <c r="C373" s="37" t="s">
        <v>851</v>
      </c>
      <c r="D373" s="38" t="s">
        <v>434</v>
      </c>
      <c r="E373" s="37" t="s">
        <v>379</v>
      </c>
      <c r="F373" s="37" t="s">
        <v>380</v>
      </c>
      <c r="G373" s="1" t="s">
        <v>375</v>
      </c>
    </row>
    <row r="374">
      <c r="A374" s="37" t="s">
        <v>852</v>
      </c>
      <c r="B374" s="36">
        <v>2018.0</v>
      </c>
      <c r="C374" s="37" t="s">
        <v>853</v>
      </c>
      <c r="D374" s="38" t="s">
        <v>854</v>
      </c>
      <c r="E374" s="37" t="s">
        <v>379</v>
      </c>
      <c r="F374" s="37" t="s">
        <v>380</v>
      </c>
      <c r="G374" s="1" t="s">
        <v>375</v>
      </c>
    </row>
    <row r="375">
      <c r="A375" s="37" t="s">
        <v>855</v>
      </c>
      <c r="B375" s="36">
        <v>2018.0</v>
      </c>
      <c r="C375" s="37" t="s">
        <v>856</v>
      </c>
      <c r="D375" s="38" t="s">
        <v>418</v>
      </c>
      <c r="E375" s="37" t="s">
        <v>550</v>
      </c>
      <c r="F375" s="37" t="s">
        <v>390</v>
      </c>
      <c r="G375" s="1" t="s">
        <v>375</v>
      </c>
    </row>
    <row r="376">
      <c r="A376" s="37" t="s">
        <v>857</v>
      </c>
      <c r="B376" s="36">
        <v>2018.0</v>
      </c>
      <c r="C376" s="37" t="s">
        <v>595</v>
      </c>
      <c r="D376" s="38" t="s">
        <v>13</v>
      </c>
      <c r="E376" s="37" t="s">
        <v>427</v>
      </c>
      <c r="F376" s="37" t="s">
        <v>428</v>
      </c>
      <c r="G376" s="1" t="s">
        <v>375</v>
      </c>
    </row>
    <row r="377">
      <c r="A377" s="37" t="s">
        <v>858</v>
      </c>
      <c r="B377" s="36">
        <v>2018.0</v>
      </c>
      <c r="C377" s="37" t="s">
        <v>859</v>
      </c>
      <c r="D377" s="38" t="s">
        <v>434</v>
      </c>
      <c r="E377" s="37" t="s">
        <v>379</v>
      </c>
      <c r="F377" s="37" t="s">
        <v>380</v>
      </c>
      <c r="G377" s="1" t="s">
        <v>375</v>
      </c>
    </row>
    <row r="378">
      <c r="A378" s="37" t="s">
        <v>858</v>
      </c>
      <c r="B378" s="36">
        <v>2018.0</v>
      </c>
      <c r="C378" s="37" t="s">
        <v>860</v>
      </c>
      <c r="D378" s="38" t="s">
        <v>434</v>
      </c>
      <c r="E378" s="37" t="s">
        <v>379</v>
      </c>
      <c r="F378" s="37" t="s">
        <v>380</v>
      </c>
      <c r="G378" s="1" t="s">
        <v>375</v>
      </c>
    </row>
    <row r="379">
      <c r="A379" s="37" t="s">
        <v>858</v>
      </c>
      <c r="B379" s="36">
        <v>2018.0</v>
      </c>
      <c r="C379" s="37" t="s">
        <v>861</v>
      </c>
      <c r="D379" s="38" t="s">
        <v>434</v>
      </c>
      <c r="E379" s="37" t="s">
        <v>379</v>
      </c>
      <c r="F379" s="37" t="s">
        <v>380</v>
      </c>
      <c r="G379" s="1" t="s">
        <v>375</v>
      </c>
    </row>
    <row r="380">
      <c r="A380" s="37" t="s">
        <v>862</v>
      </c>
      <c r="B380" s="36">
        <v>2018.0</v>
      </c>
      <c r="C380" s="37" t="s">
        <v>863</v>
      </c>
      <c r="D380" s="38" t="s">
        <v>864</v>
      </c>
      <c r="E380" s="37" t="s">
        <v>600</v>
      </c>
      <c r="F380" s="37" t="s">
        <v>601</v>
      </c>
      <c r="G380" s="1" t="s">
        <v>375</v>
      </c>
    </row>
    <row r="381">
      <c r="A381" s="37" t="s">
        <v>865</v>
      </c>
      <c r="B381" s="36">
        <v>2018.0</v>
      </c>
      <c r="C381" s="37" t="s">
        <v>833</v>
      </c>
      <c r="D381" s="38" t="s">
        <v>19</v>
      </c>
      <c r="E381" s="37" t="s">
        <v>600</v>
      </c>
      <c r="F381" s="37" t="s">
        <v>601</v>
      </c>
      <c r="G381" s="1" t="s">
        <v>375</v>
      </c>
    </row>
    <row r="382">
      <c r="A382" s="37" t="s">
        <v>866</v>
      </c>
      <c r="B382" s="36">
        <v>2018.0</v>
      </c>
      <c r="C382" s="37" t="s">
        <v>762</v>
      </c>
      <c r="D382" s="38" t="s">
        <v>489</v>
      </c>
      <c r="E382" s="37" t="s">
        <v>490</v>
      </c>
      <c r="F382" s="37" t="s">
        <v>390</v>
      </c>
      <c r="G382" s="1" t="s">
        <v>375</v>
      </c>
    </row>
    <row r="383">
      <c r="A383" s="37" t="s">
        <v>867</v>
      </c>
      <c r="B383" s="36">
        <v>2018.0</v>
      </c>
      <c r="C383" s="37" t="s">
        <v>868</v>
      </c>
      <c r="D383" s="38" t="s">
        <v>854</v>
      </c>
      <c r="E383" s="37" t="s">
        <v>379</v>
      </c>
      <c r="F383" s="37" t="s">
        <v>380</v>
      </c>
      <c r="G383" s="1" t="s">
        <v>375</v>
      </c>
    </row>
    <row r="384">
      <c r="A384" s="37" t="s">
        <v>869</v>
      </c>
      <c r="B384" s="36">
        <v>2018.0</v>
      </c>
      <c r="C384" s="37" t="s">
        <v>870</v>
      </c>
      <c r="D384" s="38" t="s">
        <v>871</v>
      </c>
      <c r="E384" s="37" t="s">
        <v>872</v>
      </c>
      <c r="F384" s="37" t="s">
        <v>873</v>
      </c>
      <c r="G384" s="1" t="s">
        <v>375</v>
      </c>
    </row>
    <row r="385">
      <c r="A385" s="37" t="s">
        <v>869</v>
      </c>
      <c r="B385" s="36">
        <v>2018.0</v>
      </c>
      <c r="C385" s="37" t="s">
        <v>874</v>
      </c>
      <c r="D385" s="38" t="s">
        <v>489</v>
      </c>
      <c r="E385" s="37" t="s">
        <v>490</v>
      </c>
      <c r="F385" s="37" t="s">
        <v>390</v>
      </c>
      <c r="G385" s="1" t="s">
        <v>375</v>
      </c>
    </row>
    <row r="386">
      <c r="A386" s="37" t="s">
        <v>869</v>
      </c>
      <c r="B386" s="36">
        <v>2018.0</v>
      </c>
      <c r="C386" s="37" t="s">
        <v>762</v>
      </c>
      <c r="D386" s="38" t="s">
        <v>489</v>
      </c>
      <c r="E386" s="37" t="s">
        <v>490</v>
      </c>
      <c r="F386" s="37" t="s">
        <v>390</v>
      </c>
      <c r="G386" s="1" t="s">
        <v>375</v>
      </c>
    </row>
    <row r="387">
      <c r="A387" s="37" t="s">
        <v>869</v>
      </c>
      <c r="B387" s="36">
        <v>2018.0</v>
      </c>
      <c r="C387" s="37" t="s">
        <v>868</v>
      </c>
      <c r="D387" s="38" t="s">
        <v>854</v>
      </c>
      <c r="E387" s="37" t="s">
        <v>379</v>
      </c>
      <c r="F387" s="37" t="s">
        <v>380</v>
      </c>
      <c r="G387" s="1" t="s">
        <v>375</v>
      </c>
    </row>
    <row r="388">
      <c r="A388" s="37" t="s">
        <v>875</v>
      </c>
      <c r="B388" s="36">
        <v>2018.0</v>
      </c>
      <c r="C388" s="37" t="s">
        <v>876</v>
      </c>
      <c r="D388" s="38" t="s">
        <v>19</v>
      </c>
      <c r="E388" s="37" t="s">
        <v>600</v>
      </c>
      <c r="F388" s="37" t="s">
        <v>601</v>
      </c>
      <c r="G388" s="1" t="s">
        <v>375</v>
      </c>
    </row>
    <row r="389">
      <c r="A389" s="37" t="s">
        <v>875</v>
      </c>
      <c r="B389" s="36">
        <v>2018.0</v>
      </c>
      <c r="C389" s="37" t="s">
        <v>847</v>
      </c>
      <c r="D389" s="38" t="s">
        <v>877</v>
      </c>
      <c r="E389" s="37" t="s">
        <v>849</v>
      </c>
      <c r="F389" s="37" t="s">
        <v>399</v>
      </c>
      <c r="G389" s="1" t="s">
        <v>696</v>
      </c>
    </row>
    <row r="390">
      <c r="A390" s="37" t="s">
        <v>875</v>
      </c>
      <c r="B390" s="36">
        <v>2018.0</v>
      </c>
      <c r="C390" s="37" t="s">
        <v>500</v>
      </c>
      <c r="D390" s="38" t="s">
        <v>434</v>
      </c>
      <c r="E390" s="37" t="s">
        <v>379</v>
      </c>
      <c r="F390" s="37" t="s">
        <v>380</v>
      </c>
      <c r="G390" s="1" t="s">
        <v>375</v>
      </c>
    </row>
    <row r="391">
      <c r="A391" s="37" t="s">
        <v>875</v>
      </c>
      <c r="B391" s="36">
        <v>2018.0</v>
      </c>
      <c r="C391" s="37" t="s">
        <v>856</v>
      </c>
      <c r="D391" s="38" t="s">
        <v>418</v>
      </c>
      <c r="E391" s="37" t="s">
        <v>550</v>
      </c>
      <c r="F391" s="37" t="s">
        <v>390</v>
      </c>
      <c r="G391" s="1" t="s">
        <v>375</v>
      </c>
    </row>
    <row r="392">
      <c r="A392" s="37" t="s">
        <v>875</v>
      </c>
      <c r="B392" s="36">
        <v>2018.0</v>
      </c>
      <c r="C392" s="37" t="s">
        <v>853</v>
      </c>
      <c r="D392" s="38" t="s">
        <v>854</v>
      </c>
      <c r="E392" s="37" t="s">
        <v>379</v>
      </c>
      <c r="F392" s="37" t="s">
        <v>380</v>
      </c>
      <c r="G392" s="1" t="s">
        <v>375</v>
      </c>
    </row>
    <row r="393">
      <c r="A393" s="37" t="s">
        <v>878</v>
      </c>
      <c r="B393" s="36">
        <v>2018.0</v>
      </c>
      <c r="C393" s="37" t="s">
        <v>879</v>
      </c>
      <c r="D393" s="38" t="s">
        <v>19</v>
      </c>
      <c r="E393" s="37" t="s">
        <v>600</v>
      </c>
      <c r="F393" s="37" t="s">
        <v>601</v>
      </c>
      <c r="G393" s="1" t="s">
        <v>375</v>
      </c>
    </row>
    <row r="394">
      <c r="A394" s="37" t="s">
        <v>878</v>
      </c>
      <c r="B394" s="36">
        <v>2018.0</v>
      </c>
      <c r="C394" s="37" t="s">
        <v>870</v>
      </c>
      <c r="D394" s="38" t="s">
        <v>871</v>
      </c>
      <c r="E394" s="37" t="s">
        <v>872</v>
      </c>
      <c r="F394" s="37" t="s">
        <v>873</v>
      </c>
      <c r="G394" s="1" t="s">
        <v>375</v>
      </c>
    </row>
    <row r="395">
      <c r="A395" s="37" t="s">
        <v>880</v>
      </c>
      <c r="B395" s="36">
        <v>2018.0</v>
      </c>
      <c r="C395" s="37" t="s">
        <v>881</v>
      </c>
      <c r="D395" s="38" t="s">
        <v>13</v>
      </c>
      <c r="E395" s="37" t="s">
        <v>427</v>
      </c>
      <c r="F395" s="37" t="s">
        <v>428</v>
      </c>
      <c r="G395" s="1" t="s">
        <v>375</v>
      </c>
    </row>
    <row r="396">
      <c r="A396" s="37" t="s">
        <v>880</v>
      </c>
      <c r="B396" s="36">
        <v>2018.0</v>
      </c>
      <c r="C396" s="37" t="s">
        <v>882</v>
      </c>
      <c r="D396" s="38" t="s">
        <v>13</v>
      </c>
      <c r="E396" s="37" t="s">
        <v>427</v>
      </c>
      <c r="F396" s="37" t="s">
        <v>428</v>
      </c>
      <c r="G396" s="1" t="s">
        <v>375</v>
      </c>
    </row>
    <row r="397">
      <c r="A397" s="37" t="s">
        <v>867</v>
      </c>
      <c r="B397" s="36">
        <v>2018.0</v>
      </c>
      <c r="C397" s="37" t="s">
        <v>883</v>
      </c>
      <c r="D397" s="38" t="s">
        <v>434</v>
      </c>
      <c r="E397" s="37" t="s">
        <v>379</v>
      </c>
      <c r="F397" s="37" t="s">
        <v>380</v>
      </c>
      <c r="G397" s="1" t="s">
        <v>375</v>
      </c>
    </row>
    <row r="398">
      <c r="A398" s="37" t="s">
        <v>867</v>
      </c>
      <c r="B398" s="36">
        <v>2018.0</v>
      </c>
      <c r="C398" s="37" t="s">
        <v>884</v>
      </c>
      <c r="D398" s="38" t="s">
        <v>434</v>
      </c>
      <c r="E398" s="37" t="s">
        <v>379</v>
      </c>
      <c r="F398" s="37" t="s">
        <v>380</v>
      </c>
      <c r="G398" s="1" t="s">
        <v>375</v>
      </c>
    </row>
    <row r="399">
      <c r="A399" s="37" t="s">
        <v>885</v>
      </c>
      <c r="B399" s="36">
        <v>2018.0</v>
      </c>
      <c r="C399" s="37" t="s">
        <v>765</v>
      </c>
      <c r="D399" s="38" t="s">
        <v>19</v>
      </c>
      <c r="E399" s="37" t="s">
        <v>600</v>
      </c>
      <c r="F399" s="37" t="s">
        <v>601</v>
      </c>
      <c r="G399" s="1" t="s">
        <v>375</v>
      </c>
    </row>
    <row r="400">
      <c r="A400" s="37" t="s">
        <v>885</v>
      </c>
      <c r="B400" s="36">
        <v>2018.0</v>
      </c>
      <c r="C400" s="37" t="s">
        <v>886</v>
      </c>
      <c r="D400" s="38" t="s">
        <v>19</v>
      </c>
      <c r="E400" s="37" t="s">
        <v>600</v>
      </c>
      <c r="F400" s="37" t="s">
        <v>601</v>
      </c>
      <c r="G400" s="1" t="s">
        <v>375</v>
      </c>
    </row>
    <row r="401">
      <c r="A401" s="37" t="s">
        <v>887</v>
      </c>
      <c r="B401" s="36">
        <v>2018.0</v>
      </c>
      <c r="C401" s="37" t="s">
        <v>888</v>
      </c>
      <c r="D401" s="38" t="s">
        <v>434</v>
      </c>
      <c r="E401" s="37" t="s">
        <v>379</v>
      </c>
      <c r="F401" s="37" t="s">
        <v>380</v>
      </c>
      <c r="G401" s="1" t="s">
        <v>375</v>
      </c>
    </row>
    <row r="402">
      <c r="A402" s="37" t="s">
        <v>887</v>
      </c>
      <c r="B402" s="36">
        <v>2018.0</v>
      </c>
      <c r="C402" s="37" t="s">
        <v>889</v>
      </c>
      <c r="D402" s="38" t="s">
        <v>434</v>
      </c>
      <c r="E402" s="37" t="s">
        <v>379</v>
      </c>
      <c r="F402" s="37" t="s">
        <v>380</v>
      </c>
      <c r="G402" s="1" t="s">
        <v>375</v>
      </c>
    </row>
    <row r="403">
      <c r="A403" s="37" t="s">
        <v>887</v>
      </c>
      <c r="B403" s="36">
        <v>2018.0</v>
      </c>
      <c r="C403" s="37" t="s">
        <v>592</v>
      </c>
      <c r="D403" s="38" t="s">
        <v>434</v>
      </c>
      <c r="E403" s="37" t="s">
        <v>379</v>
      </c>
      <c r="F403" s="37" t="s">
        <v>380</v>
      </c>
      <c r="G403" s="1" t="s">
        <v>375</v>
      </c>
    </row>
    <row r="404">
      <c r="A404" s="37" t="s">
        <v>890</v>
      </c>
      <c r="B404" s="36">
        <v>2018.0</v>
      </c>
      <c r="C404" s="37" t="s">
        <v>891</v>
      </c>
      <c r="D404" s="38" t="s">
        <v>892</v>
      </c>
      <c r="E404" s="37" t="s">
        <v>893</v>
      </c>
      <c r="F404" s="37" t="s">
        <v>894</v>
      </c>
      <c r="G404" s="1" t="s">
        <v>375</v>
      </c>
    </row>
    <row r="405">
      <c r="A405" s="37" t="s">
        <v>890</v>
      </c>
      <c r="B405" s="36">
        <v>2018.0</v>
      </c>
      <c r="C405" s="37" t="s">
        <v>494</v>
      </c>
      <c r="D405" s="38" t="s">
        <v>13</v>
      </c>
      <c r="E405" s="37" t="s">
        <v>427</v>
      </c>
      <c r="F405" s="37" t="s">
        <v>428</v>
      </c>
      <c r="G405" s="1" t="s">
        <v>375</v>
      </c>
    </row>
    <row r="406">
      <c r="A406" s="37" t="s">
        <v>890</v>
      </c>
      <c r="B406" s="36">
        <v>2018.0</v>
      </c>
      <c r="C406" s="37" t="s">
        <v>895</v>
      </c>
      <c r="D406" s="38" t="s">
        <v>892</v>
      </c>
      <c r="E406" s="37" t="s">
        <v>893</v>
      </c>
      <c r="F406" s="37" t="s">
        <v>894</v>
      </c>
      <c r="G406" s="1" t="s">
        <v>375</v>
      </c>
    </row>
    <row r="407">
      <c r="A407" s="37" t="s">
        <v>896</v>
      </c>
      <c r="B407" s="36">
        <v>2018.0</v>
      </c>
      <c r="C407" s="37" t="s">
        <v>833</v>
      </c>
      <c r="D407" s="38" t="s">
        <v>19</v>
      </c>
      <c r="E407" s="37" t="s">
        <v>600</v>
      </c>
      <c r="F407" s="37" t="s">
        <v>601</v>
      </c>
      <c r="G407" s="1" t="s">
        <v>375</v>
      </c>
    </row>
    <row r="408">
      <c r="A408" s="37" t="s">
        <v>896</v>
      </c>
      <c r="B408" s="36">
        <v>2018.0</v>
      </c>
      <c r="C408" s="37" t="s">
        <v>897</v>
      </c>
      <c r="D408" s="38" t="s">
        <v>19</v>
      </c>
      <c r="E408" s="37" t="s">
        <v>600</v>
      </c>
      <c r="F408" s="37" t="s">
        <v>601</v>
      </c>
      <c r="G408" s="1" t="s">
        <v>375</v>
      </c>
    </row>
    <row r="409">
      <c r="A409" s="37" t="s">
        <v>896</v>
      </c>
      <c r="B409" s="36">
        <v>2018.0</v>
      </c>
      <c r="C409" s="37" t="s">
        <v>898</v>
      </c>
      <c r="D409" s="38" t="s">
        <v>19</v>
      </c>
      <c r="E409" s="37" t="s">
        <v>600</v>
      </c>
      <c r="F409" s="37" t="s">
        <v>601</v>
      </c>
      <c r="G409" s="1" t="s">
        <v>375</v>
      </c>
    </row>
    <row r="410">
      <c r="A410" s="37" t="s">
        <v>896</v>
      </c>
      <c r="B410" s="36">
        <v>2018.0</v>
      </c>
      <c r="C410" s="37" t="s">
        <v>899</v>
      </c>
      <c r="D410" s="38" t="s">
        <v>900</v>
      </c>
      <c r="E410" s="37" t="s">
        <v>600</v>
      </c>
      <c r="F410" s="37" t="s">
        <v>601</v>
      </c>
      <c r="G410" s="1" t="s">
        <v>375</v>
      </c>
    </row>
    <row r="411">
      <c r="A411" s="37" t="s">
        <v>901</v>
      </c>
      <c r="B411" s="36">
        <v>2018.0</v>
      </c>
      <c r="C411" s="37" t="s">
        <v>902</v>
      </c>
      <c r="D411" s="38" t="s">
        <v>434</v>
      </c>
      <c r="E411" s="37" t="s">
        <v>379</v>
      </c>
      <c r="F411" s="37" t="s">
        <v>380</v>
      </c>
      <c r="G411" s="1" t="s">
        <v>375</v>
      </c>
    </row>
    <row r="412">
      <c r="A412" s="37" t="s">
        <v>901</v>
      </c>
      <c r="B412" s="36">
        <v>2018.0</v>
      </c>
      <c r="C412" s="37" t="s">
        <v>903</v>
      </c>
      <c r="D412" s="38" t="s">
        <v>434</v>
      </c>
      <c r="E412" s="37" t="s">
        <v>379</v>
      </c>
      <c r="F412" s="37" t="s">
        <v>380</v>
      </c>
      <c r="G412" s="1" t="s">
        <v>375</v>
      </c>
    </row>
    <row r="413">
      <c r="A413" s="37" t="s">
        <v>901</v>
      </c>
      <c r="B413" s="36">
        <v>2018.0</v>
      </c>
      <c r="C413" s="37" t="s">
        <v>904</v>
      </c>
      <c r="D413" s="38" t="s">
        <v>434</v>
      </c>
      <c r="E413" s="37" t="s">
        <v>379</v>
      </c>
      <c r="F413" s="37" t="s">
        <v>380</v>
      </c>
      <c r="G413" s="1" t="s">
        <v>375</v>
      </c>
    </row>
    <row r="414">
      <c r="A414" s="37" t="s">
        <v>905</v>
      </c>
      <c r="B414" s="36">
        <v>2018.0</v>
      </c>
      <c r="C414" s="37" t="s">
        <v>897</v>
      </c>
      <c r="D414" s="38" t="s">
        <v>906</v>
      </c>
      <c r="E414" s="37" t="s">
        <v>907</v>
      </c>
      <c r="F414" s="37" t="s">
        <v>908</v>
      </c>
      <c r="G414" s="1" t="s">
        <v>375</v>
      </c>
    </row>
    <row r="415">
      <c r="A415" s="37" t="s">
        <v>905</v>
      </c>
      <c r="B415" s="36">
        <v>2018.0</v>
      </c>
      <c r="C415" s="37" t="s">
        <v>909</v>
      </c>
      <c r="D415" s="38" t="s">
        <v>19</v>
      </c>
      <c r="E415" s="37" t="s">
        <v>600</v>
      </c>
      <c r="F415" s="37" t="s">
        <v>601</v>
      </c>
      <c r="G415" s="1" t="s">
        <v>375</v>
      </c>
    </row>
    <row r="416">
      <c r="A416" s="1" t="s">
        <v>910</v>
      </c>
      <c r="B416" s="40">
        <v>2022.0</v>
      </c>
      <c r="C416" s="1" t="s">
        <v>511</v>
      </c>
      <c r="D416" s="38" t="s">
        <v>587</v>
      </c>
      <c r="E416" s="37" t="s">
        <v>509</v>
      </c>
      <c r="F416" s="37" t="s">
        <v>390</v>
      </c>
      <c r="G416" s="1" t="s">
        <v>375</v>
      </c>
    </row>
    <row r="417">
      <c r="A417" s="1" t="s">
        <v>910</v>
      </c>
      <c r="B417" s="40">
        <v>2022.0</v>
      </c>
      <c r="C417" s="1" t="s">
        <v>911</v>
      </c>
      <c r="D417" s="38" t="s">
        <v>587</v>
      </c>
      <c r="E417" s="37" t="s">
        <v>509</v>
      </c>
      <c r="F417" s="37" t="s">
        <v>390</v>
      </c>
      <c r="G417" s="1" t="s">
        <v>375</v>
      </c>
    </row>
    <row r="418">
      <c r="A418" s="1" t="s">
        <v>912</v>
      </c>
      <c r="B418" s="40">
        <v>2019.0</v>
      </c>
      <c r="C418" s="1" t="s">
        <v>913</v>
      </c>
      <c r="D418" s="41" t="s">
        <v>532</v>
      </c>
      <c r="E418" s="1" t="s">
        <v>410</v>
      </c>
      <c r="F418" s="1" t="s">
        <v>411</v>
      </c>
      <c r="G418" s="1" t="s">
        <v>375</v>
      </c>
    </row>
    <row r="419">
      <c r="A419" s="1" t="s">
        <v>914</v>
      </c>
      <c r="B419" s="40">
        <v>2018.0</v>
      </c>
      <c r="C419" s="1" t="s">
        <v>883</v>
      </c>
      <c r="D419" s="38" t="s">
        <v>434</v>
      </c>
      <c r="E419" s="37" t="s">
        <v>379</v>
      </c>
      <c r="F419" s="37" t="s">
        <v>380</v>
      </c>
      <c r="G419" s="1" t="s">
        <v>375</v>
      </c>
    </row>
    <row r="420">
      <c r="A420" s="1" t="s">
        <v>914</v>
      </c>
      <c r="B420" s="40">
        <v>2018.0</v>
      </c>
      <c r="C420" s="1" t="s">
        <v>884</v>
      </c>
      <c r="D420" s="38" t="s">
        <v>434</v>
      </c>
      <c r="E420" s="37" t="s">
        <v>379</v>
      </c>
      <c r="F420" s="37" t="s">
        <v>380</v>
      </c>
      <c r="G420" s="1" t="s">
        <v>375</v>
      </c>
    </row>
    <row r="421">
      <c r="A421" s="1"/>
      <c r="B421" s="40"/>
      <c r="C421" s="1"/>
      <c r="D421" s="41"/>
      <c r="E421" s="1"/>
      <c r="F421" s="1"/>
      <c r="G421" s="1"/>
    </row>
    <row r="422">
      <c r="A422" s="1"/>
      <c r="B422" s="40"/>
      <c r="C422" s="1"/>
      <c r="D422" s="41"/>
      <c r="E422" s="1"/>
      <c r="F422" s="1"/>
      <c r="G422" s="1"/>
    </row>
    <row r="423">
      <c r="A423" s="1"/>
      <c r="B423" s="40"/>
      <c r="C423" s="1"/>
      <c r="D423" s="41"/>
      <c r="E423" s="1"/>
      <c r="F423" s="1"/>
      <c r="G423" s="1"/>
    </row>
    <row r="424">
      <c r="A424" s="1"/>
      <c r="B424" s="40"/>
      <c r="C424" s="1"/>
      <c r="D424" s="41"/>
      <c r="E424" s="1"/>
      <c r="F424" s="1"/>
      <c r="G424" s="1"/>
    </row>
    <row r="425">
      <c r="A425" s="1"/>
      <c r="B425" s="40"/>
      <c r="C425" s="1"/>
      <c r="D425" s="41"/>
      <c r="E425" s="1"/>
      <c r="F425" s="1"/>
      <c r="G425" s="1"/>
    </row>
    <row r="426">
      <c r="A426" s="1"/>
      <c r="B426" s="40"/>
      <c r="C426" s="1"/>
      <c r="D426" s="41"/>
      <c r="E426" s="1"/>
      <c r="F426" s="1"/>
      <c r="G426" s="1"/>
    </row>
    <row r="427">
      <c r="A427" s="1"/>
      <c r="B427" s="40"/>
      <c r="C427" s="1"/>
      <c r="D427" s="41"/>
      <c r="E427" s="1"/>
      <c r="F427" s="1"/>
      <c r="G427" s="1"/>
    </row>
    <row r="428">
      <c r="A428" s="1"/>
      <c r="B428" s="40"/>
      <c r="C428" s="1"/>
      <c r="D428" s="41"/>
      <c r="E428" s="1"/>
      <c r="F428" s="1"/>
      <c r="G428" s="1"/>
    </row>
    <row r="429">
      <c r="A429" s="1"/>
      <c r="B429" s="40"/>
      <c r="C429" s="1"/>
      <c r="D429" s="41"/>
      <c r="E429" s="1"/>
      <c r="F429" s="1"/>
      <c r="G429" s="1"/>
    </row>
    <row r="430">
      <c r="A430" s="1"/>
      <c r="B430" s="40"/>
      <c r="C430" s="1"/>
      <c r="D430" s="41"/>
      <c r="E430" s="1"/>
      <c r="F430" s="1"/>
      <c r="G430" s="1"/>
    </row>
    <row r="431">
      <c r="A431" s="1"/>
      <c r="B431" s="40"/>
      <c r="C431" s="1"/>
      <c r="D431" s="41"/>
      <c r="E431" s="1"/>
      <c r="F431" s="1"/>
      <c r="G431" s="1"/>
    </row>
    <row r="432">
      <c r="A432" s="1"/>
      <c r="B432" s="40"/>
      <c r="C432" s="1"/>
      <c r="D432" s="41"/>
      <c r="E432" s="1"/>
      <c r="F432" s="1"/>
      <c r="G432" s="1"/>
    </row>
    <row r="433">
      <c r="A433" s="1"/>
      <c r="B433" s="40"/>
      <c r="C433" s="1"/>
      <c r="D433" s="41"/>
      <c r="E433" s="1"/>
      <c r="F433" s="1"/>
      <c r="G433" s="1"/>
    </row>
    <row r="434">
      <c r="A434" s="1"/>
      <c r="B434" s="40"/>
      <c r="C434" s="1"/>
      <c r="D434" s="41"/>
      <c r="E434" s="1"/>
      <c r="F434" s="1"/>
      <c r="G434" s="1"/>
    </row>
    <row r="435">
      <c r="A435" s="1"/>
      <c r="B435" s="40"/>
      <c r="C435" s="1"/>
      <c r="D435" s="41"/>
      <c r="E435" s="1"/>
      <c r="F435" s="1"/>
      <c r="G435" s="1"/>
    </row>
    <row r="436">
      <c r="A436" s="1"/>
      <c r="B436" s="40"/>
      <c r="C436" s="1"/>
      <c r="D436" s="41"/>
      <c r="E436" s="1"/>
      <c r="F436" s="1"/>
      <c r="G436" s="1"/>
    </row>
    <row r="437">
      <c r="A437" s="1"/>
      <c r="B437" s="40"/>
      <c r="C437" s="1"/>
      <c r="D437" s="41"/>
      <c r="E437" s="1"/>
      <c r="F437" s="1"/>
      <c r="G437" s="1"/>
    </row>
    <row r="438">
      <c r="A438" s="1"/>
      <c r="B438" s="40"/>
      <c r="C438" s="1"/>
      <c r="D438" s="41"/>
      <c r="E438" s="1"/>
      <c r="F438" s="1"/>
      <c r="G438" s="1"/>
    </row>
    <row r="439">
      <c r="A439" s="1"/>
      <c r="B439" s="40"/>
      <c r="C439" s="1"/>
      <c r="D439" s="41"/>
      <c r="E439" s="1"/>
      <c r="F439" s="1"/>
      <c r="G439" s="1"/>
    </row>
    <row r="440">
      <c r="A440" s="1"/>
      <c r="B440" s="40"/>
      <c r="C440" s="1"/>
      <c r="D440" s="41"/>
      <c r="E440" s="1"/>
      <c r="F440" s="1"/>
      <c r="G440" s="1"/>
    </row>
    <row r="441">
      <c r="A441" s="1"/>
      <c r="B441" s="40"/>
      <c r="C441" s="1"/>
      <c r="D441" s="41"/>
      <c r="E441" s="1"/>
      <c r="F441" s="1"/>
      <c r="G441" s="1"/>
    </row>
    <row r="442">
      <c r="A442" s="1"/>
      <c r="B442" s="40"/>
      <c r="C442" s="1"/>
      <c r="D442" s="41"/>
      <c r="E442" s="1"/>
      <c r="F442" s="1"/>
      <c r="G442" s="1"/>
    </row>
    <row r="443">
      <c r="A443" s="1"/>
      <c r="B443" s="40"/>
      <c r="C443" s="1"/>
      <c r="D443" s="41"/>
      <c r="E443" s="1"/>
      <c r="F443" s="1"/>
      <c r="G443" s="1"/>
    </row>
    <row r="444">
      <c r="A444" s="1"/>
      <c r="B444" s="40"/>
      <c r="C444" s="1"/>
      <c r="D444" s="41"/>
      <c r="E444" s="1"/>
      <c r="F444" s="1"/>
      <c r="G444" s="1"/>
    </row>
    <row r="445">
      <c r="A445" s="1"/>
      <c r="B445" s="40"/>
      <c r="C445" s="1"/>
      <c r="D445" s="41"/>
      <c r="E445" s="1"/>
      <c r="F445" s="1"/>
      <c r="G445" s="1"/>
    </row>
    <row r="446">
      <c r="A446" s="1"/>
      <c r="B446" s="40"/>
      <c r="C446" s="1"/>
      <c r="D446" s="41"/>
      <c r="E446" s="1"/>
      <c r="F446" s="1"/>
      <c r="G446" s="1"/>
    </row>
    <row r="447">
      <c r="A447" s="1"/>
      <c r="B447" s="40"/>
      <c r="C447" s="1"/>
      <c r="D447" s="41"/>
      <c r="E447" s="1"/>
      <c r="F447" s="1"/>
      <c r="G447" s="1"/>
    </row>
    <row r="448">
      <c r="A448" s="1"/>
      <c r="B448" s="40"/>
      <c r="C448" s="1"/>
      <c r="D448" s="41"/>
      <c r="E448" s="1"/>
      <c r="F448" s="1"/>
      <c r="G448" s="1"/>
    </row>
    <row r="449">
      <c r="A449" s="1"/>
      <c r="B449" s="40"/>
      <c r="C449" s="1"/>
      <c r="D449" s="41"/>
      <c r="E449" s="1"/>
      <c r="F449" s="1"/>
      <c r="G449" s="1"/>
    </row>
    <row r="450">
      <c r="A450" s="1"/>
      <c r="B450" s="40"/>
      <c r="C450" s="1"/>
      <c r="D450" s="41"/>
      <c r="E450" s="1"/>
      <c r="F450" s="1"/>
      <c r="G450" s="1"/>
    </row>
    <row r="451">
      <c r="A451" s="1"/>
      <c r="B451" s="40"/>
      <c r="C451" s="1"/>
      <c r="D451" s="41"/>
      <c r="E451" s="1"/>
      <c r="F451" s="1"/>
      <c r="G451" s="1"/>
    </row>
    <row r="452">
      <c r="A452" s="1"/>
      <c r="B452" s="40"/>
      <c r="C452" s="1"/>
      <c r="D452" s="41"/>
      <c r="E452" s="1"/>
      <c r="F452" s="1"/>
      <c r="G452" s="1"/>
    </row>
    <row r="453">
      <c r="A453" s="1"/>
      <c r="B453" s="40"/>
      <c r="C453" s="1"/>
      <c r="D453" s="41"/>
      <c r="E453" s="1"/>
      <c r="F453" s="1"/>
      <c r="G453" s="1"/>
    </row>
    <row r="454">
      <c r="A454" s="1"/>
      <c r="B454" s="40"/>
      <c r="C454" s="1"/>
      <c r="D454" s="41"/>
      <c r="E454" s="1"/>
      <c r="F454" s="1"/>
      <c r="G454" s="1"/>
    </row>
    <row r="455">
      <c r="A455" s="1"/>
      <c r="B455" s="40"/>
      <c r="C455" s="1"/>
      <c r="D455" s="41"/>
      <c r="E455" s="1"/>
      <c r="F455" s="1"/>
      <c r="G455" s="1"/>
    </row>
    <row r="456">
      <c r="A456" s="1"/>
      <c r="B456" s="40"/>
      <c r="C456" s="1"/>
      <c r="D456" s="41"/>
      <c r="E456" s="1"/>
      <c r="F456" s="1"/>
      <c r="G456" s="1"/>
    </row>
    <row r="457">
      <c r="A457" s="1"/>
      <c r="B457" s="40"/>
      <c r="C457" s="1"/>
      <c r="D457" s="41"/>
      <c r="E457" s="1"/>
      <c r="F457" s="1"/>
      <c r="G457" s="1"/>
    </row>
    <row r="458">
      <c r="A458" s="1"/>
      <c r="B458" s="40"/>
      <c r="C458" s="1"/>
      <c r="D458" s="41"/>
      <c r="E458" s="1"/>
      <c r="F458" s="1"/>
      <c r="G458" s="1"/>
    </row>
    <row r="459">
      <c r="A459" s="1"/>
      <c r="B459" s="40"/>
      <c r="C459" s="1"/>
      <c r="D459" s="41"/>
      <c r="E459" s="1"/>
      <c r="F459" s="1"/>
      <c r="G459" s="1"/>
    </row>
    <row r="460">
      <c r="A460" s="1"/>
      <c r="B460" s="40"/>
      <c r="C460" s="1"/>
      <c r="D460" s="41"/>
      <c r="E460" s="1"/>
      <c r="F460" s="1"/>
      <c r="G460" s="1"/>
    </row>
    <row r="461">
      <c r="A461" s="1"/>
      <c r="B461" s="40"/>
      <c r="C461" s="1"/>
      <c r="D461" s="41"/>
      <c r="E461" s="1"/>
      <c r="F461" s="1"/>
      <c r="G461" s="1"/>
    </row>
    <row r="462">
      <c r="A462" s="39"/>
      <c r="B462" s="42"/>
      <c r="C462" s="39"/>
      <c r="D462" s="43"/>
      <c r="E462" s="39"/>
      <c r="F462" s="39"/>
      <c r="G462" s="39"/>
    </row>
    <row r="463">
      <c r="A463" s="39"/>
      <c r="B463" s="42"/>
      <c r="C463" s="39"/>
      <c r="D463" s="43"/>
      <c r="E463" s="39"/>
      <c r="F463" s="39"/>
      <c r="G463" s="39"/>
    </row>
    <row r="464">
      <c r="A464" s="39"/>
      <c r="B464" s="42"/>
      <c r="C464" s="39"/>
      <c r="D464" s="43"/>
      <c r="E464" s="39"/>
      <c r="F464" s="39"/>
      <c r="G464" s="39"/>
    </row>
    <row r="465">
      <c r="A465" s="39"/>
      <c r="B465" s="42"/>
      <c r="C465" s="39"/>
      <c r="D465" s="43"/>
      <c r="E465" s="39"/>
      <c r="F465" s="39"/>
      <c r="G465" s="39"/>
    </row>
    <row r="466">
      <c r="A466" s="39"/>
      <c r="B466" s="42"/>
      <c r="C466" s="39"/>
      <c r="D466" s="43"/>
      <c r="E466" s="39"/>
      <c r="F466" s="39"/>
      <c r="G466" s="39"/>
    </row>
    <row r="467">
      <c r="A467" s="39"/>
      <c r="B467" s="42"/>
      <c r="C467" s="39"/>
      <c r="D467" s="43"/>
      <c r="E467" s="39"/>
      <c r="F467" s="39"/>
      <c r="G467" s="39"/>
    </row>
    <row r="468">
      <c r="A468" s="39"/>
      <c r="B468" s="42"/>
      <c r="C468" s="39"/>
      <c r="D468" s="43"/>
      <c r="E468" s="39"/>
      <c r="F468" s="39"/>
      <c r="G468" s="39"/>
    </row>
    <row r="469">
      <c r="A469" s="39"/>
      <c r="B469" s="42"/>
      <c r="C469" s="39"/>
      <c r="D469" s="43"/>
      <c r="E469" s="39"/>
      <c r="F469" s="39"/>
      <c r="G469" s="39"/>
    </row>
    <row r="470">
      <c r="A470" s="39"/>
      <c r="B470" s="42"/>
      <c r="C470" s="39"/>
      <c r="D470" s="43"/>
      <c r="E470" s="39"/>
      <c r="F470" s="39"/>
      <c r="G470" s="39"/>
    </row>
    <row r="471">
      <c r="A471" s="39"/>
      <c r="B471" s="42"/>
      <c r="C471" s="39"/>
      <c r="D471" s="43"/>
      <c r="E471" s="39"/>
      <c r="F471" s="39"/>
      <c r="G471" s="39"/>
    </row>
    <row r="472">
      <c r="A472" s="39"/>
      <c r="B472" s="42"/>
      <c r="C472" s="39"/>
      <c r="D472" s="43"/>
      <c r="E472" s="39"/>
      <c r="F472" s="39"/>
      <c r="G472" s="39"/>
    </row>
    <row r="473">
      <c r="A473" s="39"/>
      <c r="B473" s="42"/>
      <c r="C473" s="39"/>
      <c r="D473" s="43"/>
      <c r="E473" s="39"/>
      <c r="F473" s="39"/>
      <c r="G473" s="39"/>
    </row>
    <row r="474">
      <c r="A474" s="39"/>
      <c r="B474" s="42"/>
      <c r="C474" s="39"/>
      <c r="D474" s="43"/>
      <c r="E474" s="39"/>
      <c r="F474" s="39"/>
      <c r="G474" s="39"/>
    </row>
    <row r="475">
      <c r="A475" s="39"/>
      <c r="B475" s="42"/>
      <c r="C475" s="39"/>
      <c r="D475" s="43"/>
      <c r="E475" s="39"/>
      <c r="F475" s="39"/>
      <c r="G475" s="39"/>
    </row>
    <row r="476">
      <c r="A476" s="39"/>
      <c r="B476" s="42"/>
      <c r="C476" s="39"/>
      <c r="D476" s="43"/>
      <c r="E476" s="39"/>
      <c r="F476" s="39"/>
      <c r="G476" s="39"/>
    </row>
    <row r="477">
      <c r="A477" s="39"/>
      <c r="B477" s="42"/>
      <c r="C477" s="39"/>
      <c r="D477" s="43"/>
      <c r="E477" s="39"/>
      <c r="F477" s="39"/>
      <c r="G477" s="39"/>
    </row>
    <row r="478">
      <c r="A478" s="39"/>
      <c r="B478" s="42"/>
      <c r="C478" s="39"/>
      <c r="D478" s="43"/>
      <c r="E478" s="39"/>
      <c r="F478" s="39"/>
      <c r="G478" s="39"/>
    </row>
    <row r="479">
      <c r="A479" s="39"/>
      <c r="B479" s="42"/>
      <c r="C479" s="39"/>
      <c r="D479" s="43"/>
      <c r="E479" s="39"/>
      <c r="F479" s="39"/>
      <c r="G479" s="39"/>
    </row>
    <row r="480">
      <c r="A480" s="39"/>
      <c r="B480" s="42"/>
      <c r="C480" s="39"/>
      <c r="D480" s="43"/>
      <c r="E480" s="39"/>
      <c r="F480" s="39"/>
      <c r="G480" s="39"/>
    </row>
    <row r="481">
      <c r="A481" s="39"/>
      <c r="B481" s="42"/>
      <c r="C481" s="39"/>
      <c r="D481" s="43"/>
      <c r="E481" s="39"/>
      <c r="F481" s="39"/>
      <c r="G481" s="39"/>
    </row>
    <row r="482">
      <c r="A482" s="39"/>
      <c r="B482" s="42"/>
      <c r="C482" s="39"/>
      <c r="D482" s="43"/>
      <c r="E482" s="39"/>
      <c r="F482" s="39"/>
      <c r="G482" s="39"/>
    </row>
    <row r="483">
      <c r="A483" s="39"/>
      <c r="B483" s="42"/>
      <c r="C483" s="39"/>
      <c r="D483" s="43"/>
      <c r="E483" s="39"/>
      <c r="F483" s="39"/>
      <c r="G483" s="39"/>
    </row>
    <row r="484">
      <c r="A484" s="39"/>
      <c r="B484" s="42"/>
      <c r="C484" s="39"/>
      <c r="D484" s="43"/>
      <c r="E484" s="39"/>
      <c r="F484" s="39"/>
      <c r="G484" s="39"/>
    </row>
    <row r="485">
      <c r="A485" s="39"/>
      <c r="B485" s="42"/>
      <c r="C485" s="39"/>
      <c r="D485" s="43"/>
      <c r="E485" s="39"/>
      <c r="F485" s="39"/>
      <c r="G485" s="39"/>
    </row>
    <row r="486">
      <c r="A486" s="39"/>
      <c r="B486" s="42"/>
      <c r="C486" s="39"/>
      <c r="D486" s="43"/>
      <c r="E486" s="39"/>
      <c r="F486" s="39"/>
      <c r="G486" s="39"/>
    </row>
    <row r="487">
      <c r="A487" s="39"/>
      <c r="B487" s="42"/>
      <c r="C487" s="39"/>
      <c r="D487" s="43"/>
      <c r="E487" s="39"/>
      <c r="F487" s="39"/>
      <c r="G487" s="39"/>
    </row>
    <row r="488">
      <c r="A488" s="39"/>
      <c r="B488" s="42"/>
      <c r="C488" s="39"/>
      <c r="D488" s="43"/>
      <c r="E488" s="39"/>
      <c r="F488" s="39"/>
      <c r="G488" s="39"/>
    </row>
    <row r="489">
      <c r="A489" s="39"/>
      <c r="B489" s="42"/>
      <c r="C489" s="39"/>
      <c r="D489" s="43"/>
      <c r="E489" s="39"/>
      <c r="F489" s="39"/>
      <c r="G489" s="39"/>
    </row>
    <row r="490">
      <c r="A490" s="39"/>
      <c r="B490" s="42"/>
      <c r="C490" s="39"/>
      <c r="D490" s="43"/>
      <c r="E490" s="39"/>
      <c r="F490" s="39"/>
      <c r="G490" s="39"/>
    </row>
    <row r="491">
      <c r="A491" s="39"/>
      <c r="B491" s="42"/>
      <c r="C491" s="39"/>
      <c r="D491" s="43"/>
      <c r="E491" s="39"/>
      <c r="F491" s="39"/>
      <c r="G491" s="39"/>
    </row>
    <row r="492">
      <c r="A492" s="39"/>
      <c r="B492" s="42"/>
      <c r="C492" s="39"/>
      <c r="D492" s="43"/>
      <c r="E492" s="39"/>
      <c r="F492" s="39"/>
      <c r="G492" s="39"/>
    </row>
    <row r="493">
      <c r="A493" s="39"/>
      <c r="B493" s="42"/>
      <c r="C493" s="39"/>
      <c r="D493" s="43"/>
      <c r="E493" s="39"/>
      <c r="F493" s="39"/>
      <c r="G493" s="39"/>
    </row>
    <row r="494">
      <c r="A494" s="39"/>
      <c r="B494" s="42"/>
      <c r="C494" s="39"/>
      <c r="D494" s="43"/>
      <c r="E494" s="39"/>
      <c r="F494" s="39"/>
      <c r="G494" s="39"/>
    </row>
    <row r="495">
      <c r="A495" s="39"/>
      <c r="B495" s="42"/>
      <c r="C495" s="39"/>
      <c r="D495" s="43"/>
      <c r="E495" s="39"/>
      <c r="F495" s="39"/>
      <c r="G495" s="39"/>
    </row>
    <row r="496">
      <c r="A496" s="39"/>
      <c r="B496" s="42"/>
      <c r="C496" s="39"/>
      <c r="D496" s="43"/>
      <c r="E496" s="39"/>
      <c r="F496" s="39"/>
      <c r="G496" s="39"/>
    </row>
    <row r="497">
      <c r="A497" s="39"/>
      <c r="B497" s="42"/>
      <c r="C497" s="39"/>
      <c r="D497" s="43"/>
      <c r="E497" s="39"/>
      <c r="F497" s="39"/>
      <c r="G497" s="39"/>
    </row>
    <row r="498">
      <c r="A498" s="39"/>
      <c r="B498" s="42"/>
      <c r="C498" s="39"/>
      <c r="D498" s="43"/>
      <c r="E498" s="39"/>
      <c r="F498" s="39"/>
      <c r="G498" s="39"/>
    </row>
    <row r="499">
      <c r="A499" s="39"/>
      <c r="B499" s="42"/>
      <c r="C499" s="39"/>
      <c r="D499" s="43"/>
      <c r="E499" s="39"/>
      <c r="F499" s="39"/>
      <c r="G499" s="39"/>
    </row>
    <row r="500">
      <c r="A500" s="39"/>
      <c r="B500" s="42"/>
      <c r="C500" s="39"/>
      <c r="D500" s="43"/>
      <c r="E500" s="39"/>
      <c r="F500" s="39"/>
      <c r="G500" s="39"/>
    </row>
    <row r="501">
      <c r="A501" s="39"/>
      <c r="B501" s="42"/>
      <c r="C501" s="39"/>
      <c r="D501" s="43"/>
      <c r="E501" s="39"/>
      <c r="F501" s="39"/>
      <c r="G501" s="39"/>
    </row>
    <row r="502">
      <c r="A502" s="39"/>
      <c r="B502" s="42"/>
      <c r="C502" s="39"/>
      <c r="D502" s="43"/>
      <c r="E502" s="39"/>
      <c r="F502" s="39"/>
      <c r="G502" s="39"/>
    </row>
    <row r="503">
      <c r="A503" s="39"/>
      <c r="B503" s="42"/>
      <c r="C503" s="39"/>
      <c r="D503" s="43"/>
      <c r="E503" s="39"/>
      <c r="F503" s="39"/>
      <c r="G503" s="39"/>
    </row>
    <row r="504">
      <c r="A504" s="39"/>
      <c r="B504" s="42"/>
      <c r="C504" s="39"/>
      <c r="D504" s="43"/>
      <c r="E504" s="39"/>
      <c r="F504" s="39"/>
      <c r="G504" s="39"/>
    </row>
    <row r="505">
      <c r="A505" s="39"/>
      <c r="B505" s="42"/>
      <c r="C505" s="39"/>
      <c r="D505" s="43"/>
      <c r="E505" s="39"/>
      <c r="F505" s="39"/>
      <c r="G505" s="39"/>
    </row>
    <row r="506">
      <c r="A506" s="39"/>
      <c r="B506" s="42"/>
      <c r="C506" s="39"/>
      <c r="D506" s="43"/>
      <c r="E506" s="39"/>
      <c r="F506" s="39"/>
      <c r="G506" s="39"/>
    </row>
    <row r="507">
      <c r="A507" s="39"/>
      <c r="B507" s="42"/>
      <c r="C507" s="39"/>
      <c r="D507" s="43"/>
      <c r="E507" s="39"/>
      <c r="F507" s="39"/>
      <c r="G507" s="39"/>
    </row>
    <row r="508">
      <c r="A508" s="39"/>
      <c r="B508" s="42"/>
      <c r="C508" s="39"/>
      <c r="D508" s="43"/>
      <c r="E508" s="39"/>
      <c r="F508" s="39"/>
      <c r="G508" s="39"/>
    </row>
    <row r="509">
      <c r="A509" s="39"/>
      <c r="B509" s="42"/>
      <c r="C509" s="39"/>
      <c r="D509" s="43"/>
      <c r="E509" s="39"/>
      <c r="F509" s="39"/>
      <c r="G509" s="39"/>
    </row>
    <row r="510">
      <c r="A510" s="39"/>
      <c r="B510" s="42"/>
      <c r="C510" s="39"/>
      <c r="D510" s="43"/>
      <c r="E510" s="39"/>
      <c r="F510" s="39"/>
      <c r="G510" s="39"/>
    </row>
    <row r="511">
      <c r="A511" s="39"/>
      <c r="B511" s="42"/>
      <c r="C511" s="39"/>
      <c r="D511" s="43"/>
      <c r="E511" s="39"/>
      <c r="F511" s="39"/>
      <c r="G511" s="39"/>
    </row>
    <row r="512">
      <c r="A512" s="39"/>
      <c r="B512" s="42"/>
      <c r="C512" s="39"/>
      <c r="D512" s="43"/>
      <c r="E512" s="39"/>
      <c r="F512" s="39"/>
      <c r="G512" s="39"/>
    </row>
    <row r="513">
      <c r="A513" s="39"/>
      <c r="B513" s="42"/>
      <c r="C513" s="39"/>
      <c r="D513" s="43"/>
      <c r="E513" s="39"/>
      <c r="F513" s="39"/>
      <c r="G513" s="39"/>
    </row>
    <row r="514">
      <c r="A514" s="39"/>
      <c r="B514" s="42"/>
      <c r="C514" s="39"/>
      <c r="D514" s="43"/>
      <c r="E514" s="39"/>
      <c r="F514" s="39"/>
      <c r="G514" s="39"/>
    </row>
    <row r="515">
      <c r="A515" s="39"/>
      <c r="B515" s="42"/>
      <c r="C515" s="39"/>
      <c r="D515" s="43"/>
      <c r="E515" s="39"/>
      <c r="F515" s="39"/>
      <c r="G515" s="39"/>
    </row>
    <row r="516">
      <c r="A516" s="39"/>
      <c r="B516" s="42"/>
      <c r="C516" s="39"/>
      <c r="D516" s="43"/>
      <c r="E516" s="39"/>
      <c r="F516" s="39"/>
      <c r="G516" s="39"/>
    </row>
    <row r="517">
      <c r="A517" s="39"/>
      <c r="B517" s="42"/>
      <c r="C517" s="39"/>
      <c r="D517" s="43"/>
      <c r="E517" s="39"/>
      <c r="F517" s="39"/>
      <c r="G517" s="39"/>
    </row>
    <row r="518">
      <c r="A518" s="39"/>
      <c r="B518" s="42"/>
      <c r="C518" s="39"/>
      <c r="D518" s="43"/>
      <c r="E518" s="39"/>
      <c r="F518" s="39"/>
      <c r="G518" s="39"/>
    </row>
    <row r="519">
      <c r="A519" s="39"/>
      <c r="B519" s="42"/>
      <c r="C519" s="39"/>
      <c r="D519" s="43"/>
      <c r="E519" s="39"/>
      <c r="F519" s="39"/>
      <c r="G519" s="39"/>
    </row>
    <row r="520">
      <c r="A520" s="39"/>
      <c r="B520" s="42"/>
      <c r="C520" s="39"/>
      <c r="D520" s="43"/>
      <c r="E520" s="39"/>
      <c r="F520" s="39"/>
      <c r="G520" s="39"/>
    </row>
    <row r="521">
      <c r="A521" s="39"/>
      <c r="B521" s="42"/>
      <c r="C521" s="39"/>
      <c r="D521" s="43"/>
      <c r="E521" s="39"/>
      <c r="F521" s="39"/>
      <c r="G521" s="39"/>
    </row>
    <row r="522">
      <c r="A522" s="39"/>
      <c r="B522" s="42"/>
      <c r="C522" s="39"/>
      <c r="D522" s="43"/>
      <c r="E522" s="39"/>
      <c r="F522" s="39"/>
      <c r="G522" s="39"/>
    </row>
    <row r="523">
      <c r="A523" s="39"/>
      <c r="B523" s="42"/>
      <c r="C523" s="39"/>
      <c r="D523" s="43"/>
      <c r="E523" s="39"/>
      <c r="F523" s="39"/>
      <c r="G523" s="39"/>
    </row>
    <row r="524">
      <c r="A524" s="39"/>
      <c r="B524" s="42"/>
      <c r="C524" s="39"/>
      <c r="D524" s="43"/>
      <c r="E524" s="39"/>
      <c r="F524" s="39"/>
      <c r="G524" s="39"/>
    </row>
    <row r="525">
      <c r="A525" s="39"/>
      <c r="B525" s="42"/>
      <c r="C525" s="39"/>
      <c r="D525" s="43"/>
      <c r="E525" s="39"/>
      <c r="F525" s="39"/>
      <c r="G525" s="39"/>
    </row>
    <row r="526">
      <c r="A526" s="39"/>
      <c r="B526" s="42"/>
      <c r="C526" s="39"/>
      <c r="D526" s="43"/>
      <c r="E526" s="39"/>
      <c r="F526" s="39"/>
      <c r="G526" s="39"/>
    </row>
    <row r="527">
      <c r="A527" s="39"/>
      <c r="B527" s="42"/>
      <c r="C527" s="39"/>
      <c r="D527" s="43"/>
      <c r="E527" s="39"/>
      <c r="F527" s="39"/>
      <c r="G527" s="39"/>
    </row>
    <row r="528">
      <c r="A528" s="39"/>
      <c r="B528" s="42"/>
      <c r="C528" s="39"/>
      <c r="D528" s="43"/>
      <c r="E528" s="39"/>
      <c r="F528" s="39"/>
      <c r="G528" s="39"/>
    </row>
    <row r="529">
      <c r="A529" s="39"/>
      <c r="B529" s="42"/>
      <c r="C529" s="39"/>
      <c r="D529" s="43"/>
      <c r="E529" s="39"/>
      <c r="F529" s="39"/>
      <c r="G529" s="39"/>
    </row>
    <row r="530">
      <c r="A530" s="39"/>
      <c r="B530" s="42"/>
      <c r="C530" s="39"/>
      <c r="D530" s="43"/>
      <c r="E530" s="39"/>
      <c r="F530" s="39"/>
      <c r="G530" s="39"/>
    </row>
    <row r="531">
      <c r="A531" s="39"/>
      <c r="B531" s="42"/>
      <c r="C531" s="39"/>
      <c r="D531" s="43"/>
      <c r="E531" s="39"/>
      <c r="F531" s="39"/>
      <c r="G531" s="39"/>
    </row>
    <row r="532">
      <c r="A532" s="39"/>
      <c r="B532" s="42"/>
      <c r="C532" s="39"/>
      <c r="D532" s="43"/>
      <c r="E532" s="39"/>
      <c r="F532" s="39"/>
      <c r="G532" s="39"/>
    </row>
    <row r="533">
      <c r="A533" s="39"/>
      <c r="B533" s="42"/>
      <c r="C533" s="39"/>
      <c r="D533" s="43"/>
      <c r="E533" s="39"/>
      <c r="F533" s="39"/>
      <c r="G533" s="39"/>
    </row>
    <row r="534">
      <c r="A534" s="39"/>
      <c r="B534" s="42"/>
      <c r="C534" s="39"/>
      <c r="D534" s="43"/>
      <c r="E534" s="39"/>
      <c r="F534" s="39"/>
      <c r="G534" s="39"/>
    </row>
    <row r="535">
      <c r="A535" s="39"/>
      <c r="B535" s="42"/>
      <c r="C535" s="39"/>
      <c r="D535" s="43"/>
      <c r="E535" s="39"/>
      <c r="F535" s="39"/>
      <c r="G535" s="39"/>
    </row>
    <row r="536">
      <c r="A536" s="39"/>
      <c r="B536" s="42"/>
      <c r="C536" s="39"/>
      <c r="D536" s="43"/>
      <c r="E536" s="39"/>
      <c r="F536" s="39"/>
      <c r="G536" s="39"/>
    </row>
    <row r="537">
      <c r="A537" s="39"/>
      <c r="B537" s="42"/>
      <c r="C537" s="39"/>
      <c r="D537" s="43"/>
      <c r="E537" s="39"/>
      <c r="F537" s="39"/>
      <c r="G537" s="39"/>
    </row>
    <row r="538">
      <c r="A538" s="39"/>
      <c r="B538" s="42"/>
      <c r="C538" s="39"/>
      <c r="D538" s="43"/>
      <c r="E538" s="39"/>
      <c r="F538" s="39"/>
      <c r="G538" s="39"/>
    </row>
    <row r="539">
      <c r="A539" s="39"/>
      <c r="B539" s="42"/>
      <c r="C539" s="39"/>
      <c r="D539" s="43"/>
      <c r="E539" s="39"/>
      <c r="F539" s="39"/>
      <c r="G539" s="39"/>
    </row>
    <row r="540">
      <c r="A540" s="39"/>
      <c r="B540" s="42"/>
      <c r="C540" s="39"/>
      <c r="D540" s="43"/>
      <c r="E540" s="39"/>
      <c r="F540" s="39"/>
      <c r="G540" s="39"/>
    </row>
    <row r="541">
      <c r="A541" s="39"/>
      <c r="B541" s="42"/>
      <c r="C541" s="39"/>
      <c r="D541" s="43"/>
      <c r="E541" s="39"/>
      <c r="F541" s="39"/>
      <c r="G541" s="39"/>
    </row>
    <row r="542">
      <c r="A542" s="39"/>
      <c r="B542" s="42"/>
      <c r="C542" s="39"/>
      <c r="D542" s="43"/>
      <c r="E542" s="39"/>
      <c r="F542" s="39"/>
      <c r="G542" s="39"/>
    </row>
    <row r="543">
      <c r="A543" s="39"/>
      <c r="B543" s="42"/>
      <c r="C543" s="39"/>
      <c r="D543" s="43"/>
      <c r="E543" s="39"/>
      <c r="F543" s="39"/>
      <c r="G543" s="39"/>
    </row>
    <row r="544">
      <c r="A544" s="39"/>
      <c r="B544" s="42"/>
      <c r="C544" s="39"/>
      <c r="D544" s="43"/>
      <c r="E544" s="39"/>
      <c r="F544" s="39"/>
      <c r="G544" s="39"/>
    </row>
    <row r="545">
      <c r="A545" s="39"/>
      <c r="B545" s="42"/>
      <c r="C545" s="39"/>
      <c r="D545" s="43"/>
      <c r="E545" s="39"/>
      <c r="F545" s="39"/>
      <c r="G545" s="39"/>
    </row>
    <row r="546">
      <c r="A546" s="39"/>
      <c r="B546" s="42"/>
      <c r="C546" s="39"/>
      <c r="D546" s="43"/>
      <c r="E546" s="39"/>
      <c r="F546" s="39"/>
      <c r="G546" s="39"/>
    </row>
    <row r="547">
      <c r="A547" s="39"/>
      <c r="B547" s="42"/>
      <c r="C547" s="39"/>
      <c r="D547" s="43"/>
      <c r="E547" s="39"/>
      <c r="F547" s="39"/>
      <c r="G547" s="39"/>
    </row>
    <row r="548">
      <c r="A548" s="39"/>
      <c r="B548" s="42"/>
      <c r="C548" s="39"/>
      <c r="D548" s="43"/>
      <c r="E548" s="39"/>
      <c r="F548" s="39"/>
      <c r="G548" s="39"/>
    </row>
    <row r="549">
      <c r="A549" s="39"/>
      <c r="B549" s="42"/>
      <c r="C549" s="39"/>
      <c r="D549" s="43"/>
      <c r="E549" s="39"/>
      <c r="F549" s="39"/>
      <c r="G549" s="39"/>
    </row>
    <row r="550">
      <c r="A550" s="39"/>
      <c r="B550" s="42"/>
      <c r="C550" s="39"/>
      <c r="D550" s="43"/>
      <c r="E550" s="39"/>
      <c r="F550" s="39"/>
      <c r="G550" s="39"/>
    </row>
    <row r="551">
      <c r="A551" s="39"/>
      <c r="B551" s="42"/>
      <c r="C551" s="39"/>
      <c r="D551" s="43"/>
      <c r="E551" s="39"/>
      <c r="F551" s="39"/>
      <c r="G551" s="39"/>
    </row>
    <row r="552">
      <c r="A552" s="39"/>
      <c r="B552" s="42"/>
      <c r="C552" s="39"/>
      <c r="D552" s="43"/>
      <c r="E552" s="39"/>
      <c r="F552" s="39"/>
      <c r="G552" s="39"/>
    </row>
    <row r="553">
      <c r="A553" s="39"/>
      <c r="B553" s="42"/>
      <c r="C553" s="39"/>
      <c r="D553" s="43"/>
      <c r="E553" s="39"/>
      <c r="F553" s="39"/>
      <c r="G553" s="39"/>
    </row>
    <row r="554">
      <c r="A554" s="39"/>
      <c r="B554" s="42"/>
      <c r="C554" s="39"/>
      <c r="D554" s="43"/>
      <c r="E554" s="39"/>
      <c r="F554" s="39"/>
      <c r="G554" s="39"/>
    </row>
    <row r="555">
      <c r="A555" s="39"/>
      <c r="B555" s="42"/>
      <c r="C555" s="39"/>
      <c r="D555" s="43"/>
      <c r="E555" s="39"/>
      <c r="F555" s="39"/>
      <c r="G555" s="39"/>
    </row>
    <row r="556">
      <c r="A556" s="39"/>
      <c r="B556" s="42"/>
      <c r="C556" s="39"/>
      <c r="D556" s="43"/>
      <c r="E556" s="39"/>
      <c r="F556" s="39"/>
      <c r="G556" s="39"/>
    </row>
    <row r="557">
      <c r="A557" s="39"/>
      <c r="B557" s="42"/>
      <c r="C557" s="39"/>
      <c r="D557" s="43"/>
      <c r="E557" s="39"/>
      <c r="F557" s="39"/>
      <c r="G557" s="39"/>
    </row>
    <row r="558">
      <c r="A558" s="39"/>
      <c r="B558" s="42"/>
      <c r="C558" s="39"/>
      <c r="D558" s="43"/>
      <c r="E558" s="39"/>
      <c r="F558" s="39"/>
      <c r="G558" s="39"/>
    </row>
    <row r="559">
      <c r="A559" s="39"/>
      <c r="B559" s="42"/>
      <c r="C559" s="39"/>
      <c r="D559" s="43"/>
      <c r="E559" s="39"/>
      <c r="F559" s="39"/>
      <c r="G559" s="39"/>
    </row>
    <row r="560">
      <c r="A560" s="39"/>
      <c r="B560" s="42"/>
      <c r="C560" s="39"/>
      <c r="D560" s="43"/>
      <c r="E560" s="39"/>
      <c r="F560" s="39"/>
      <c r="G560" s="39"/>
    </row>
    <row r="561">
      <c r="A561" s="39"/>
      <c r="B561" s="42"/>
      <c r="C561" s="39"/>
      <c r="D561" s="43"/>
      <c r="E561" s="39"/>
      <c r="F561" s="39"/>
      <c r="G561" s="39"/>
    </row>
    <row r="562">
      <c r="A562" s="39"/>
      <c r="B562" s="42"/>
      <c r="C562" s="39"/>
      <c r="D562" s="43"/>
      <c r="E562" s="39"/>
      <c r="F562" s="39"/>
      <c r="G562" s="39"/>
    </row>
    <row r="563">
      <c r="A563" s="39"/>
      <c r="B563" s="42"/>
      <c r="C563" s="39"/>
      <c r="D563" s="43"/>
      <c r="E563" s="39"/>
      <c r="F563" s="39"/>
      <c r="G563" s="39"/>
    </row>
    <row r="564">
      <c r="A564" s="39"/>
      <c r="B564" s="42"/>
      <c r="C564" s="39"/>
      <c r="D564" s="43"/>
      <c r="E564" s="39"/>
      <c r="F564" s="39"/>
      <c r="G564" s="39"/>
    </row>
    <row r="565">
      <c r="A565" s="39"/>
      <c r="B565" s="42"/>
      <c r="C565" s="39"/>
      <c r="D565" s="43"/>
      <c r="E565" s="39"/>
      <c r="F565" s="39"/>
      <c r="G565" s="39"/>
    </row>
    <row r="566">
      <c r="A566" s="39"/>
      <c r="B566" s="42"/>
      <c r="C566" s="39"/>
      <c r="D566" s="43"/>
      <c r="E566" s="39"/>
      <c r="F566" s="39"/>
      <c r="G566" s="39"/>
    </row>
    <row r="567">
      <c r="A567" s="39"/>
      <c r="B567" s="42"/>
      <c r="C567" s="39"/>
      <c r="D567" s="43"/>
      <c r="E567" s="39"/>
      <c r="F567" s="39"/>
      <c r="G567" s="39"/>
    </row>
    <row r="568">
      <c r="A568" s="39"/>
      <c r="B568" s="42"/>
      <c r="C568" s="39"/>
      <c r="D568" s="43"/>
      <c r="E568" s="39"/>
      <c r="F568" s="39"/>
      <c r="G568" s="39"/>
    </row>
    <row r="569">
      <c r="A569" s="39"/>
      <c r="B569" s="42"/>
      <c r="C569" s="39"/>
      <c r="D569" s="43"/>
      <c r="E569" s="39"/>
      <c r="F569" s="39"/>
      <c r="G569" s="39"/>
    </row>
    <row r="570">
      <c r="A570" s="39"/>
      <c r="B570" s="42"/>
      <c r="C570" s="39"/>
      <c r="D570" s="43"/>
      <c r="E570" s="39"/>
      <c r="F570" s="39"/>
      <c r="G570" s="39"/>
    </row>
    <row r="571">
      <c r="A571" s="39"/>
      <c r="B571" s="42"/>
      <c r="C571" s="39"/>
      <c r="D571" s="43"/>
      <c r="E571" s="39"/>
      <c r="F571" s="39"/>
      <c r="G571" s="39"/>
    </row>
    <row r="572">
      <c r="A572" s="39"/>
      <c r="B572" s="42"/>
      <c r="C572" s="39"/>
      <c r="D572" s="43"/>
      <c r="E572" s="39"/>
      <c r="F572" s="39"/>
      <c r="G572" s="39"/>
    </row>
    <row r="573">
      <c r="A573" s="39"/>
      <c r="B573" s="42"/>
      <c r="C573" s="39"/>
      <c r="D573" s="43"/>
      <c r="E573" s="39"/>
      <c r="F573" s="39"/>
      <c r="G573" s="39"/>
    </row>
    <row r="574">
      <c r="A574" s="39"/>
      <c r="B574" s="42"/>
      <c r="C574" s="39"/>
      <c r="D574" s="43"/>
      <c r="E574" s="39"/>
      <c r="F574" s="39"/>
      <c r="G574" s="39"/>
    </row>
    <row r="575">
      <c r="A575" s="39"/>
      <c r="B575" s="42"/>
      <c r="C575" s="39"/>
      <c r="D575" s="43"/>
      <c r="E575" s="39"/>
      <c r="F575" s="39"/>
      <c r="G575" s="39"/>
    </row>
    <row r="576">
      <c r="A576" s="39"/>
      <c r="B576" s="42"/>
      <c r="C576" s="39"/>
      <c r="D576" s="43"/>
      <c r="E576" s="39"/>
      <c r="F576" s="39"/>
      <c r="G576" s="39"/>
    </row>
    <row r="577">
      <c r="A577" s="39"/>
      <c r="B577" s="42"/>
      <c r="C577" s="39"/>
      <c r="D577" s="43"/>
      <c r="E577" s="39"/>
      <c r="F577" s="39"/>
      <c r="G577" s="39"/>
    </row>
    <row r="578">
      <c r="A578" s="39"/>
      <c r="B578" s="42"/>
      <c r="C578" s="39"/>
      <c r="D578" s="43"/>
      <c r="E578" s="39"/>
      <c r="F578" s="39"/>
      <c r="G578" s="39"/>
    </row>
    <row r="579">
      <c r="A579" s="39"/>
      <c r="B579" s="42"/>
      <c r="C579" s="39"/>
      <c r="D579" s="43"/>
      <c r="E579" s="39"/>
      <c r="F579" s="39"/>
      <c r="G579" s="39"/>
    </row>
    <row r="580">
      <c r="A580" s="39"/>
      <c r="B580" s="42"/>
      <c r="C580" s="39"/>
      <c r="D580" s="43"/>
      <c r="E580" s="39"/>
      <c r="F580" s="39"/>
      <c r="G580" s="39"/>
    </row>
    <row r="581">
      <c r="A581" s="39"/>
      <c r="B581" s="42"/>
      <c r="C581" s="39"/>
      <c r="D581" s="43"/>
      <c r="E581" s="39"/>
      <c r="F581" s="39"/>
      <c r="G581" s="39"/>
    </row>
    <row r="582">
      <c r="A582" s="39"/>
      <c r="B582" s="42"/>
      <c r="C582" s="39"/>
      <c r="D582" s="43"/>
      <c r="E582" s="39"/>
      <c r="F582" s="39"/>
      <c r="G582" s="39"/>
    </row>
    <row r="583">
      <c r="A583" s="39"/>
      <c r="B583" s="42"/>
      <c r="C583" s="39"/>
      <c r="D583" s="43"/>
      <c r="E583" s="39"/>
      <c r="F583" s="39"/>
      <c r="G583" s="39"/>
    </row>
    <row r="584">
      <c r="A584" s="39"/>
      <c r="B584" s="42"/>
      <c r="C584" s="39"/>
      <c r="D584" s="43"/>
      <c r="E584" s="39"/>
      <c r="F584" s="39"/>
      <c r="G584" s="39"/>
    </row>
    <row r="585">
      <c r="A585" s="39"/>
      <c r="B585" s="42"/>
      <c r="C585" s="39"/>
      <c r="D585" s="43"/>
      <c r="E585" s="39"/>
      <c r="F585" s="39"/>
      <c r="G585" s="39"/>
    </row>
    <row r="586">
      <c r="A586" s="39"/>
      <c r="B586" s="42"/>
      <c r="C586" s="39"/>
      <c r="D586" s="43"/>
      <c r="E586" s="39"/>
      <c r="F586" s="39"/>
      <c r="G586" s="39"/>
    </row>
    <row r="587">
      <c r="A587" s="39"/>
      <c r="B587" s="42"/>
      <c r="C587" s="39"/>
      <c r="D587" s="43"/>
      <c r="E587" s="39"/>
      <c r="F587" s="39"/>
      <c r="G587" s="39"/>
    </row>
    <row r="588">
      <c r="A588" s="39"/>
      <c r="B588" s="42"/>
      <c r="C588" s="39"/>
      <c r="D588" s="43"/>
      <c r="E588" s="39"/>
      <c r="F588" s="39"/>
      <c r="G588" s="39"/>
    </row>
    <row r="589">
      <c r="A589" s="39"/>
      <c r="B589" s="42"/>
      <c r="C589" s="39"/>
      <c r="D589" s="43"/>
      <c r="E589" s="39"/>
      <c r="F589" s="39"/>
      <c r="G589" s="39"/>
    </row>
    <row r="590">
      <c r="A590" s="39"/>
      <c r="B590" s="42"/>
      <c r="C590" s="39"/>
      <c r="D590" s="43"/>
      <c r="E590" s="39"/>
      <c r="F590" s="39"/>
      <c r="G590" s="39"/>
    </row>
    <row r="591">
      <c r="A591" s="39"/>
      <c r="B591" s="42"/>
      <c r="C591" s="39"/>
      <c r="D591" s="43"/>
      <c r="E591" s="39"/>
      <c r="F591" s="39"/>
      <c r="G591" s="39"/>
    </row>
    <row r="592">
      <c r="A592" s="39"/>
      <c r="B592" s="42"/>
      <c r="C592" s="39"/>
      <c r="D592" s="43"/>
      <c r="E592" s="39"/>
      <c r="F592" s="39"/>
      <c r="G592" s="39"/>
    </row>
    <row r="593">
      <c r="A593" s="39"/>
      <c r="B593" s="42"/>
      <c r="C593" s="39"/>
      <c r="D593" s="43"/>
      <c r="E593" s="39"/>
      <c r="F593" s="39"/>
      <c r="G593" s="39"/>
    </row>
    <row r="594">
      <c r="A594" s="39"/>
      <c r="B594" s="42"/>
      <c r="C594" s="39"/>
      <c r="D594" s="43"/>
      <c r="E594" s="39"/>
      <c r="F594" s="39"/>
      <c r="G594" s="39"/>
    </row>
    <row r="595">
      <c r="A595" s="39"/>
      <c r="B595" s="42"/>
      <c r="C595" s="39"/>
      <c r="D595" s="43"/>
      <c r="E595" s="39"/>
      <c r="F595" s="39"/>
      <c r="G595" s="39"/>
    </row>
    <row r="596">
      <c r="A596" s="39"/>
      <c r="B596" s="42"/>
      <c r="C596" s="39"/>
      <c r="D596" s="43"/>
      <c r="E596" s="39"/>
      <c r="F596" s="39"/>
      <c r="G596" s="39"/>
    </row>
    <row r="597">
      <c r="A597" s="39"/>
      <c r="B597" s="42"/>
      <c r="C597" s="39"/>
      <c r="D597" s="43"/>
      <c r="E597" s="39"/>
      <c r="F597" s="39"/>
      <c r="G597" s="39"/>
    </row>
    <row r="598">
      <c r="A598" s="39"/>
      <c r="B598" s="42"/>
      <c r="C598" s="39"/>
      <c r="D598" s="43"/>
      <c r="E598" s="39"/>
      <c r="F598" s="39"/>
      <c r="G598" s="39"/>
    </row>
    <row r="599">
      <c r="A599" s="39"/>
      <c r="B599" s="42"/>
      <c r="C599" s="39"/>
      <c r="D599" s="43"/>
      <c r="E599" s="39"/>
      <c r="F599" s="39"/>
      <c r="G599" s="39"/>
    </row>
    <row r="600">
      <c r="A600" s="39"/>
      <c r="B600" s="42"/>
      <c r="C600" s="39"/>
      <c r="D600" s="43"/>
      <c r="E600" s="39"/>
      <c r="F600" s="39"/>
      <c r="G600" s="39"/>
    </row>
    <row r="601">
      <c r="A601" s="39"/>
      <c r="B601" s="42"/>
      <c r="C601" s="39"/>
      <c r="D601" s="43"/>
      <c r="E601" s="39"/>
      <c r="F601" s="39"/>
      <c r="G601" s="39"/>
    </row>
    <row r="602">
      <c r="A602" s="39"/>
      <c r="B602" s="42"/>
      <c r="C602" s="39"/>
      <c r="D602" s="43"/>
      <c r="E602" s="39"/>
      <c r="F602" s="39"/>
      <c r="G602" s="39"/>
    </row>
    <row r="603">
      <c r="A603" s="39"/>
      <c r="B603" s="42"/>
      <c r="C603" s="39"/>
      <c r="D603" s="43"/>
      <c r="E603" s="39"/>
      <c r="F603" s="39"/>
      <c r="G603" s="39"/>
    </row>
    <row r="604">
      <c r="A604" s="39"/>
      <c r="B604" s="42"/>
      <c r="C604" s="39"/>
      <c r="D604" s="43"/>
      <c r="E604" s="39"/>
      <c r="F604" s="39"/>
      <c r="G604" s="39"/>
    </row>
    <row r="605">
      <c r="A605" s="39"/>
      <c r="B605" s="42"/>
      <c r="C605" s="39"/>
      <c r="D605" s="43"/>
      <c r="E605" s="39"/>
      <c r="F605" s="39"/>
      <c r="G605" s="39"/>
    </row>
    <row r="606">
      <c r="A606" s="39"/>
      <c r="B606" s="42"/>
      <c r="C606" s="39"/>
      <c r="D606" s="43"/>
      <c r="E606" s="39"/>
      <c r="F606" s="39"/>
      <c r="G606" s="39"/>
    </row>
    <row r="607">
      <c r="A607" s="39"/>
      <c r="B607" s="42"/>
      <c r="C607" s="39"/>
      <c r="D607" s="43"/>
      <c r="E607" s="39"/>
      <c r="F607" s="39"/>
      <c r="G607" s="39"/>
    </row>
    <row r="608">
      <c r="A608" s="39"/>
      <c r="B608" s="42"/>
      <c r="C608" s="39"/>
      <c r="D608" s="43"/>
      <c r="E608" s="39"/>
      <c r="F608" s="39"/>
      <c r="G608" s="39"/>
    </row>
    <row r="609">
      <c r="A609" s="39"/>
      <c r="B609" s="42"/>
      <c r="C609" s="39"/>
      <c r="D609" s="43"/>
      <c r="E609" s="39"/>
      <c r="F609" s="39"/>
      <c r="G609" s="39"/>
    </row>
    <row r="610">
      <c r="A610" s="39"/>
      <c r="B610" s="42"/>
      <c r="C610" s="39"/>
      <c r="D610" s="43"/>
      <c r="E610" s="39"/>
      <c r="F610" s="39"/>
      <c r="G610" s="39"/>
    </row>
    <row r="611">
      <c r="A611" s="39"/>
      <c r="B611" s="42"/>
      <c r="C611" s="39"/>
      <c r="D611" s="43"/>
      <c r="E611" s="39"/>
      <c r="F611" s="39"/>
      <c r="G611" s="39"/>
    </row>
    <row r="612">
      <c r="A612" s="39"/>
      <c r="B612" s="42"/>
      <c r="C612" s="39"/>
      <c r="D612" s="43"/>
      <c r="E612" s="39"/>
      <c r="F612" s="39"/>
      <c r="G612" s="39"/>
    </row>
    <row r="613">
      <c r="A613" s="39"/>
      <c r="B613" s="42"/>
      <c r="C613" s="39"/>
      <c r="D613" s="43"/>
      <c r="E613" s="39"/>
      <c r="F613" s="39"/>
      <c r="G613" s="39"/>
    </row>
    <row r="614">
      <c r="A614" s="39"/>
      <c r="B614" s="42"/>
      <c r="C614" s="39"/>
      <c r="D614" s="43"/>
      <c r="E614" s="39"/>
      <c r="F614" s="39"/>
      <c r="G614" s="39"/>
    </row>
    <row r="615">
      <c r="A615" s="39"/>
      <c r="B615" s="42"/>
      <c r="C615" s="39"/>
      <c r="D615" s="43"/>
      <c r="E615" s="39"/>
      <c r="F615" s="39"/>
      <c r="G615" s="39"/>
    </row>
    <row r="616">
      <c r="A616" s="39"/>
      <c r="B616" s="42"/>
      <c r="C616" s="39"/>
      <c r="D616" s="43"/>
      <c r="E616" s="39"/>
      <c r="F616" s="39"/>
      <c r="G616" s="39"/>
    </row>
    <row r="617">
      <c r="A617" s="39"/>
      <c r="B617" s="42"/>
      <c r="C617" s="39"/>
      <c r="D617" s="43"/>
      <c r="E617" s="39"/>
      <c r="F617" s="39"/>
      <c r="G617" s="39"/>
    </row>
    <row r="618">
      <c r="A618" s="39"/>
      <c r="B618" s="42"/>
      <c r="C618" s="39"/>
      <c r="D618" s="43"/>
      <c r="E618" s="39"/>
      <c r="F618" s="39"/>
      <c r="G618" s="39"/>
    </row>
    <row r="619">
      <c r="A619" s="39"/>
      <c r="B619" s="42"/>
      <c r="C619" s="39"/>
      <c r="D619" s="43"/>
      <c r="E619" s="39"/>
      <c r="F619" s="39"/>
      <c r="G619" s="39"/>
    </row>
    <row r="620">
      <c r="A620" s="39"/>
      <c r="B620" s="42"/>
      <c r="C620" s="39"/>
      <c r="D620" s="43"/>
      <c r="E620" s="39"/>
      <c r="F620" s="39"/>
      <c r="G620" s="39"/>
    </row>
    <row r="621">
      <c r="A621" s="39"/>
      <c r="B621" s="42"/>
      <c r="C621" s="39"/>
      <c r="D621" s="43"/>
      <c r="E621" s="39"/>
      <c r="F621" s="39"/>
      <c r="G621" s="39"/>
    </row>
    <row r="622">
      <c r="A622" s="39"/>
      <c r="B622" s="42"/>
      <c r="C622" s="39"/>
      <c r="D622" s="43"/>
      <c r="E622" s="39"/>
      <c r="F622" s="39"/>
      <c r="G622" s="39"/>
    </row>
    <row r="623">
      <c r="A623" s="39"/>
      <c r="B623" s="42"/>
      <c r="C623" s="39"/>
      <c r="D623" s="43"/>
      <c r="E623" s="39"/>
      <c r="F623" s="39"/>
      <c r="G623" s="39"/>
    </row>
    <row r="624">
      <c r="A624" s="39"/>
      <c r="B624" s="42"/>
      <c r="C624" s="39"/>
      <c r="D624" s="43"/>
      <c r="E624" s="39"/>
      <c r="F624" s="39"/>
      <c r="G624" s="39"/>
    </row>
    <row r="625">
      <c r="A625" s="39"/>
      <c r="B625" s="42"/>
      <c r="C625" s="39"/>
      <c r="D625" s="43"/>
      <c r="E625" s="39"/>
      <c r="F625" s="39"/>
      <c r="G625" s="39"/>
    </row>
    <row r="626">
      <c r="A626" s="39"/>
      <c r="B626" s="42"/>
      <c r="C626" s="39"/>
      <c r="D626" s="43"/>
      <c r="E626" s="39"/>
      <c r="F626" s="39"/>
      <c r="G626" s="39"/>
    </row>
    <row r="627">
      <c r="A627" s="39"/>
      <c r="B627" s="42"/>
      <c r="C627" s="39"/>
      <c r="D627" s="43"/>
      <c r="E627" s="39"/>
      <c r="F627" s="39"/>
      <c r="G627" s="39"/>
    </row>
    <row r="628">
      <c r="A628" s="39"/>
      <c r="B628" s="42"/>
      <c r="C628" s="39"/>
      <c r="D628" s="43"/>
      <c r="E628" s="39"/>
      <c r="F628" s="39"/>
      <c r="G628" s="39"/>
    </row>
    <row r="629">
      <c r="A629" s="39"/>
      <c r="B629" s="42"/>
      <c r="C629" s="39"/>
      <c r="D629" s="43"/>
      <c r="E629" s="39"/>
      <c r="F629" s="39"/>
      <c r="G629" s="39"/>
    </row>
    <row r="630">
      <c r="A630" s="39"/>
      <c r="B630" s="42"/>
      <c r="C630" s="39"/>
      <c r="D630" s="43"/>
      <c r="E630" s="39"/>
      <c r="F630" s="39"/>
      <c r="G630" s="39"/>
    </row>
    <row r="631">
      <c r="A631" s="39"/>
      <c r="B631" s="42"/>
      <c r="C631" s="39"/>
      <c r="D631" s="43"/>
      <c r="E631" s="39"/>
      <c r="F631" s="39"/>
      <c r="G631" s="39"/>
    </row>
    <row r="632">
      <c r="A632" s="39"/>
      <c r="B632" s="42"/>
      <c r="C632" s="39"/>
      <c r="D632" s="43"/>
      <c r="E632" s="39"/>
      <c r="F632" s="39"/>
      <c r="G632" s="39"/>
    </row>
    <row r="633">
      <c r="A633" s="39"/>
      <c r="B633" s="42"/>
      <c r="C633" s="39"/>
      <c r="D633" s="43"/>
      <c r="E633" s="39"/>
      <c r="F633" s="39"/>
      <c r="G633" s="39"/>
    </row>
    <row r="634">
      <c r="A634" s="39"/>
      <c r="B634" s="42"/>
      <c r="C634" s="39"/>
      <c r="D634" s="43"/>
      <c r="E634" s="39"/>
      <c r="F634" s="39"/>
      <c r="G634" s="39"/>
    </row>
    <row r="635">
      <c r="A635" s="39"/>
      <c r="B635" s="42"/>
      <c r="C635" s="39"/>
      <c r="D635" s="43"/>
      <c r="E635" s="39"/>
      <c r="F635" s="39"/>
      <c r="G635" s="39"/>
    </row>
    <row r="636">
      <c r="A636" s="39"/>
      <c r="B636" s="42"/>
      <c r="C636" s="39"/>
      <c r="D636" s="43"/>
      <c r="E636" s="39"/>
      <c r="F636" s="39"/>
      <c r="G636" s="39"/>
    </row>
    <row r="637">
      <c r="A637" s="39"/>
      <c r="B637" s="42"/>
      <c r="C637" s="39"/>
      <c r="D637" s="43"/>
      <c r="E637" s="39"/>
      <c r="F637" s="39"/>
      <c r="G637" s="39"/>
    </row>
    <row r="638">
      <c r="A638" s="39"/>
      <c r="B638" s="42"/>
      <c r="C638" s="39"/>
      <c r="D638" s="43"/>
      <c r="E638" s="39"/>
      <c r="F638" s="39"/>
      <c r="G638" s="39"/>
    </row>
    <row r="639">
      <c r="A639" s="39"/>
      <c r="B639" s="42"/>
      <c r="C639" s="39"/>
      <c r="D639" s="43"/>
      <c r="E639" s="39"/>
      <c r="F639" s="39"/>
      <c r="G639" s="39"/>
    </row>
    <row r="640">
      <c r="A640" s="39"/>
      <c r="B640" s="42"/>
      <c r="C640" s="39"/>
      <c r="D640" s="43"/>
      <c r="E640" s="39"/>
      <c r="F640" s="39"/>
      <c r="G640" s="39"/>
    </row>
    <row r="641">
      <c r="A641" s="39"/>
      <c r="B641" s="42"/>
      <c r="C641" s="39"/>
      <c r="D641" s="43"/>
      <c r="E641" s="39"/>
      <c r="F641" s="39"/>
      <c r="G641" s="39"/>
    </row>
    <row r="642">
      <c r="A642" s="39"/>
      <c r="B642" s="42"/>
      <c r="C642" s="39"/>
      <c r="D642" s="43"/>
      <c r="E642" s="39"/>
      <c r="F642" s="39"/>
      <c r="G642" s="39"/>
    </row>
    <row r="643">
      <c r="A643" s="39"/>
      <c r="B643" s="42"/>
      <c r="C643" s="39"/>
      <c r="D643" s="43"/>
      <c r="E643" s="39"/>
      <c r="F643" s="39"/>
      <c r="G643" s="39"/>
    </row>
    <row r="644">
      <c r="A644" s="39"/>
      <c r="B644" s="42"/>
      <c r="C644" s="39"/>
      <c r="D644" s="43"/>
      <c r="E644" s="39"/>
      <c r="F644" s="39"/>
      <c r="G644" s="39"/>
    </row>
    <row r="645">
      <c r="A645" s="39"/>
      <c r="B645" s="42"/>
      <c r="C645" s="39"/>
      <c r="D645" s="43"/>
      <c r="E645" s="39"/>
      <c r="F645" s="39"/>
      <c r="G645" s="39"/>
    </row>
    <row r="646">
      <c r="A646" s="39"/>
      <c r="B646" s="42"/>
      <c r="C646" s="39"/>
      <c r="D646" s="43"/>
      <c r="E646" s="39"/>
      <c r="F646" s="39"/>
      <c r="G646" s="39"/>
    </row>
    <row r="647">
      <c r="A647" s="39"/>
      <c r="B647" s="42"/>
      <c r="C647" s="39"/>
      <c r="D647" s="43"/>
      <c r="E647" s="39"/>
      <c r="F647" s="39"/>
      <c r="G647" s="39"/>
    </row>
    <row r="648">
      <c r="A648" s="39"/>
      <c r="B648" s="42"/>
      <c r="C648" s="39"/>
      <c r="D648" s="43"/>
      <c r="E648" s="39"/>
      <c r="F648" s="39"/>
      <c r="G648" s="39"/>
    </row>
    <row r="649">
      <c r="A649" s="39"/>
      <c r="B649" s="42"/>
      <c r="C649" s="39"/>
      <c r="D649" s="43"/>
      <c r="E649" s="39"/>
      <c r="F649" s="39"/>
      <c r="G649" s="39"/>
    </row>
    <row r="650">
      <c r="A650" s="39"/>
      <c r="B650" s="42"/>
      <c r="C650" s="39"/>
      <c r="D650" s="43"/>
      <c r="E650" s="39"/>
      <c r="F650" s="39"/>
      <c r="G650" s="39"/>
    </row>
    <row r="651">
      <c r="A651" s="39"/>
      <c r="B651" s="42"/>
      <c r="C651" s="39"/>
      <c r="D651" s="43"/>
      <c r="E651" s="39"/>
      <c r="F651" s="39"/>
      <c r="G651" s="39"/>
    </row>
    <row r="652">
      <c r="A652" s="39"/>
      <c r="B652" s="42"/>
      <c r="C652" s="39"/>
      <c r="D652" s="43"/>
      <c r="E652" s="39"/>
      <c r="F652" s="39"/>
      <c r="G652" s="39"/>
    </row>
    <row r="653">
      <c r="A653" s="39"/>
      <c r="B653" s="42"/>
      <c r="C653" s="39"/>
      <c r="D653" s="43"/>
      <c r="E653" s="39"/>
      <c r="F653" s="39"/>
      <c r="G653" s="39"/>
    </row>
    <row r="654">
      <c r="A654" s="39"/>
      <c r="B654" s="42"/>
      <c r="C654" s="39"/>
      <c r="D654" s="43"/>
      <c r="E654" s="39"/>
      <c r="F654" s="39"/>
      <c r="G654" s="39"/>
    </row>
    <row r="655">
      <c r="A655" s="39"/>
      <c r="B655" s="42"/>
      <c r="C655" s="39"/>
      <c r="D655" s="43"/>
      <c r="E655" s="39"/>
      <c r="F655" s="39"/>
      <c r="G655" s="39"/>
    </row>
    <row r="656">
      <c r="A656" s="39"/>
      <c r="B656" s="42"/>
      <c r="C656" s="39"/>
      <c r="D656" s="43"/>
      <c r="E656" s="39"/>
      <c r="F656" s="39"/>
      <c r="G656" s="39"/>
    </row>
    <row r="657">
      <c r="A657" s="39"/>
      <c r="B657" s="42"/>
      <c r="C657" s="39"/>
      <c r="D657" s="43"/>
      <c r="E657" s="39"/>
      <c r="F657" s="39"/>
      <c r="G657" s="39"/>
    </row>
    <row r="658">
      <c r="A658" s="39"/>
      <c r="B658" s="42"/>
      <c r="C658" s="39"/>
      <c r="D658" s="43"/>
      <c r="E658" s="39"/>
      <c r="F658" s="39"/>
      <c r="G658" s="39"/>
    </row>
    <row r="659">
      <c r="A659" s="39"/>
      <c r="B659" s="42"/>
      <c r="C659" s="39"/>
      <c r="D659" s="43"/>
      <c r="E659" s="39"/>
      <c r="F659" s="39"/>
      <c r="G659" s="39"/>
    </row>
    <row r="660">
      <c r="A660" s="39"/>
      <c r="B660" s="42"/>
      <c r="C660" s="39"/>
      <c r="D660" s="43"/>
      <c r="E660" s="39"/>
      <c r="F660" s="39"/>
      <c r="G660" s="39"/>
    </row>
    <row r="661">
      <c r="A661" s="39"/>
      <c r="B661" s="42"/>
      <c r="C661" s="39"/>
      <c r="D661" s="43"/>
      <c r="E661" s="39"/>
      <c r="F661" s="39"/>
      <c r="G661" s="39"/>
    </row>
    <row r="662">
      <c r="A662" s="39"/>
      <c r="B662" s="42"/>
      <c r="C662" s="39"/>
      <c r="D662" s="43"/>
      <c r="E662" s="39"/>
      <c r="F662" s="39"/>
      <c r="G662" s="39"/>
    </row>
    <row r="663">
      <c r="A663" s="39"/>
      <c r="B663" s="42"/>
      <c r="C663" s="39"/>
      <c r="D663" s="43"/>
      <c r="E663" s="39"/>
      <c r="F663" s="39"/>
      <c r="G663" s="39"/>
    </row>
    <row r="664">
      <c r="A664" s="39"/>
      <c r="B664" s="42"/>
      <c r="C664" s="39"/>
      <c r="D664" s="43"/>
      <c r="E664" s="39"/>
      <c r="F664" s="39"/>
      <c r="G664" s="39"/>
    </row>
    <row r="665">
      <c r="A665" s="39"/>
      <c r="B665" s="42"/>
      <c r="C665" s="39"/>
      <c r="D665" s="43"/>
      <c r="E665" s="39"/>
      <c r="F665" s="39"/>
      <c r="G665" s="39"/>
    </row>
    <row r="666">
      <c r="A666" s="39"/>
      <c r="B666" s="42"/>
      <c r="C666" s="39"/>
      <c r="D666" s="43"/>
      <c r="E666" s="39"/>
      <c r="F666" s="39"/>
      <c r="G666" s="39"/>
    </row>
    <row r="667">
      <c r="A667" s="39"/>
      <c r="B667" s="42"/>
      <c r="C667" s="39"/>
      <c r="D667" s="43"/>
      <c r="E667" s="39"/>
      <c r="F667" s="39"/>
      <c r="G667" s="39"/>
    </row>
    <row r="668">
      <c r="A668" s="39"/>
      <c r="B668" s="42"/>
      <c r="C668" s="39"/>
      <c r="D668" s="43"/>
      <c r="E668" s="39"/>
      <c r="F668" s="39"/>
      <c r="G668" s="39"/>
    </row>
    <row r="669">
      <c r="A669" s="39"/>
      <c r="B669" s="42"/>
      <c r="C669" s="39"/>
      <c r="D669" s="43"/>
      <c r="E669" s="39"/>
      <c r="F669" s="39"/>
      <c r="G669" s="39"/>
    </row>
    <row r="670">
      <c r="A670" s="39"/>
      <c r="B670" s="42"/>
      <c r="C670" s="39"/>
      <c r="D670" s="43"/>
      <c r="E670" s="39"/>
      <c r="F670" s="39"/>
      <c r="G670" s="39"/>
    </row>
    <row r="671">
      <c r="A671" s="39"/>
      <c r="B671" s="42"/>
      <c r="C671" s="39"/>
      <c r="D671" s="43"/>
      <c r="E671" s="39"/>
      <c r="F671" s="39"/>
      <c r="G671" s="39"/>
    </row>
    <row r="672">
      <c r="A672" s="39"/>
      <c r="B672" s="42"/>
      <c r="C672" s="39"/>
      <c r="D672" s="43"/>
      <c r="E672" s="39"/>
      <c r="F672" s="39"/>
      <c r="G672" s="39"/>
    </row>
    <row r="673">
      <c r="A673" s="39"/>
      <c r="B673" s="42"/>
      <c r="C673" s="39"/>
      <c r="D673" s="43"/>
      <c r="E673" s="39"/>
      <c r="F673" s="39"/>
      <c r="G673" s="39"/>
    </row>
    <row r="674">
      <c r="A674" s="39"/>
      <c r="B674" s="42"/>
      <c r="C674" s="39"/>
      <c r="D674" s="43"/>
      <c r="E674" s="39"/>
      <c r="F674" s="39"/>
      <c r="G674" s="39"/>
    </row>
    <row r="675">
      <c r="A675" s="39"/>
      <c r="B675" s="42"/>
      <c r="C675" s="39"/>
      <c r="D675" s="43"/>
      <c r="E675" s="39"/>
      <c r="F675" s="39"/>
      <c r="G675" s="39"/>
    </row>
    <row r="676">
      <c r="A676" s="39"/>
      <c r="B676" s="42"/>
      <c r="C676" s="39"/>
      <c r="D676" s="43"/>
      <c r="E676" s="39"/>
      <c r="F676" s="39"/>
      <c r="G676" s="39"/>
    </row>
    <row r="677">
      <c r="A677" s="39"/>
      <c r="B677" s="42"/>
      <c r="C677" s="39"/>
      <c r="D677" s="43"/>
      <c r="E677" s="39"/>
      <c r="F677" s="39"/>
      <c r="G677" s="39"/>
    </row>
    <row r="678">
      <c r="A678" s="39"/>
      <c r="B678" s="42"/>
      <c r="C678" s="39"/>
      <c r="D678" s="43"/>
      <c r="E678" s="39"/>
      <c r="F678" s="39"/>
      <c r="G678" s="39"/>
    </row>
    <row r="679">
      <c r="A679" s="39"/>
      <c r="B679" s="42"/>
      <c r="C679" s="39"/>
      <c r="D679" s="43"/>
      <c r="E679" s="39"/>
      <c r="F679" s="39"/>
      <c r="G679" s="39"/>
    </row>
    <row r="680">
      <c r="A680" s="39"/>
      <c r="B680" s="42"/>
      <c r="C680" s="39"/>
      <c r="D680" s="43"/>
      <c r="E680" s="39"/>
      <c r="F680" s="39"/>
      <c r="G680" s="39"/>
    </row>
    <row r="681">
      <c r="A681" s="39"/>
      <c r="B681" s="42"/>
      <c r="C681" s="39"/>
      <c r="D681" s="43"/>
      <c r="E681" s="39"/>
      <c r="F681" s="39"/>
      <c r="G681" s="39"/>
    </row>
    <row r="682">
      <c r="A682" s="39"/>
      <c r="B682" s="42"/>
      <c r="C682" s="39"/>
      <c r="D682" s="43"/>
      <c r="E682" s="39"/>
      <c r="F682" s="39"/>
      <c r="G682" s="39"/>
    </row>
    <row r="683">
      <c r="A683" s="39"/>
      <c r="B683" s="42"/>
      <c r="C683" s="39"/>
      <c r="D683" s="43"/>
      <c r="E683" s="39"/>
      <c r="F683" s="39"/>
      <c r="G683" s="39"/>
    </row>
    <row r="684">
      <c r="A684" s="39"/>
      <c r="B684" s="42"/>
      <c r="C684" s="39"/>
      <c r="D684" s="43"/>
      <c r="E684" s="39"/>
      <c r="F684" s="39"/>
      <c r="G684" s="39"/>
    </row>
    <row r="685">
      <c r="A685" s="39"/>
      <c r="B685" s="42"/>
      <c r="C685" s="39"/>
      <c r="D685" s="43"/>
      <c r="E685" s="39"/>
      <c r="F685" s="39"/>
      <c r="G685" s="39"/>
    </row>
    <row r="686">
      <c r="A686" s="39"/>
      <c r="B686" s="42"/>
      <c r="C686" s="39"/>
      <c r="D686" s="43"/>
      <c r="E686" s="39"/>
      <c r="F686" s="39"/>
      <c r="G686" s="39"/>
    </row>
    <row r="687">
      <c r="A687" s="39"/>
      <c r="B687" s="42"/>
      <c r="C687" s="39"/>
      <c r="D687" s="43"/>
      <c r="E687" s="39"/>
      <c r="F687" s="39"/>
      <c r="G687" s="39"/>
    </row>
    <row r="688">
      <c r="A688" s="39"/>
      <c r="B688" s="42"/>
      <c r="C688" s="39"/>
      <c r="D688" s="43"/>
      <c r="E688" s="39"/>
      <c r="F688" s="39"/>
      <c r="G688" s="39"/>
    </row>
    <row r="689">
      <c r="A689" s="39"/>
      <c r="B689" s="42"/>
      <c r="C689" s="39"/>
      <c r="D689" s="43"/>
      <c r="E689" s="39"/>
      <c r="F689" s="39"/>
      <c r="G689" s="39"/>
    </row>
    <row r="690">
      <c r="A690" s="39"/>
      <c r="B690" s="42"/>
      <c r="C690" s="39"/>
      <c r="D690" s="43"/>
      <c r="E690" s="39"/>
      <c r="F690" s="39"/>
      <c r="G690" s="39"/>
    </row>
    <row r="691">
      <c r="A691" s="39"/>
      <c r="B691" s="42"/>
      <c r="C691" s="39"/>
      <c r="D691" s="43"/>
      <c r="E691" s="39"/>
      <c r="F691" s="39"/>
      <c r="G691" s="39"/>
    </row>
    <row r="692">
      <c r="A692" s="39"/>
      <c r="B692" s="42"/>
      <c r="C692" s="39"/>
      <c r="D692" s="43"/>
      <c r="E692" s="39"/>
      <c r="F692" s="39"/>
      <c r="G692" s="39"/>
    </row>
    <row r="693">
      <c r="A693" s="39"/>
      <c r="B693" s="42"/>
      <c r="C693" s="39"/>
      <c r="D693" s="43"/>
      <c r="E693" s="39"/>
      <c r="F693" s="39"/>
      <c r="G693" s="39"/>
    </row>
    <row r="694">
      <c r="A694" s="39"/>
      <c r="B694" s="42"/>
      <c r="C694" s="39"/>
      <c r="D694" s="43"/>
      <c r="E694" s="39"/>
      <c r="F694" s="39"/>
      <c r="G694" s="39"/>
    </row>
    <row r="695">
      <c r="A695" s="39"/>
      <c r="B695" s="42"/>
      <c r="C695" s="39"/>
      <c r="D695" s="43"/>
      <c r="E695" s="39"/>
      <c r="F695" s="39"/>
      <c r="G695" s="39"/>
    </row>
    <row r="696">
      <c r="A696" s="39"/>
      <c r="B696" s="42"/>
      <c r="C696" s="39"/>
      <c r="D696" s="43"/>
      <c r="E696" s="39"/>
      <c r="F696" s="39"/>
      <c r="G696" s="39"/>
    </row>
    <row r="697">
      <c r="A697" s="39"/>
      <c r="B697" s="42"/>
      <c r="C697" s="39"/>
      <c r="D697" s="43"/>
      <c r="E697" s="39"/>
      <c r="F697" s="39"/>
      <c r="G697" s="39"/>
    </row>
    <row r="698">
      <c r="A698" s="39"/>
      <c r="B698" s="42"/>
      <c r="C698" s="39"/>
      <c r="D698" s="43"/>
      <c r="E698" s="39"/>
      <c r="F698" s="39"/>
      <c r="G698" s="39"/>
    </row>
    <row r="699">
      <c r="A699" s="39"/>
      <c r="B699" s="42"/>
      <c r="C699" s="39"/>
      <c r="D699" s="43"/>
      <c r="E699" s="39"/>
      <c r="F699" s="39"/>
      <c r="G699" s="39"/>
    </row>
    <row r="700">
      <c r="A700" s="39"/>
      <c r="B700" s="42"/>
      <c r="C700" s="39"/>
      <c r="D700" s="43"/>
      <c r="E700" s="39"/>
      <c r="F700" s="39"/>
      <c r="G700" s="39"/>
    </row>
    <row r="701">
      <c r="A701" s="39"/>
      <c r="B701" s="42"/>
      <c r="C701" s="39"/>
      <c r="D701" s="43"/>
      <c r="E701" s="39"/>
      <c r="F701" s="39"/>
      <c r="G701" s="39"/>
    </row>
    <row r="702">
      <c r="A702" s="39"/>
      <c r="B702" s="42"/>
      <c r="C702" s="39"/>
      <c r="D702" s="43"/>
      <c r="E702" s="39"/>
      <c r="F702" s="39"/>
      <c r="G702" s="39"/>
    </row>
    <row r="703">
      <c r="A703" s="39"/>
      <c r="B703" s="42"/>
      <c r="C703" s="39"/>
      <c r="D703" s="43"/>
      <c r="E703" s="39"/>
      <c r="F703" s="39"/>
      <c r="G703" s="39"/>
    </row>
    <row r="704">
      <c r="A704" s="39"/>
      <c r="B704" s="42"/>
      <c r="C704" s="39"/>
      <c r="D704" s="43"/>
      <c r="E704" s="39"/>
      <c r="F704" s="39"/>
      <c r="G704" s="39"/>
    </row>
    <row r="705">
      <c r="A705" s="39"/>
      <c r="B705" s="42"/>
      <c r="C705" s="39"/>
      <c r="D705" s="43"/>
      <c r="E705" s="39"/>
      <c r="F705" s="39"/>
      <c r="G705" s="39"/>
    </row>
    <row r="706">
      <c r="A706" s="39"/>
      <c r="B706" s="42"/>
      <c r="C706" s="39"/>
      <c r="D706" s="43"/>
      <c r="E706" s="39"/>
      <c r="F706" s="39"/>
      <c r="G706" s="39"/>
    </row>
    <row r="707">
      <c r="A707" s="39"/>
      <c r="B707" s="42"/>
      <c r="C707" s="39"/>
      <c r="D707" s="43"/>
      <c r="E707" s="39"/>
      <c r="F707" s="39"/>
      <c r="G707" s="39"/>
    </row>
    <row r="708">
      <c r="A708" s="39"/>
      <c r="B708" s="42"/>
      <c r="C708" s="39"/>
      <c r="D708" s="43"/>
      <c r="E708" s="39"/>
      <c r="F708" s="39"/>
      <c r="G708" s="39"/>
    </row>
    <row r="709">
      <c r="A709" s="39"/>
      <c r="B709" s="42"/>
      <c r="C709" s="39"/>
      <c r="D709" s="43"/>
      <c r="E709" s="39"/>
      <c r="F709" s="39"/>
      <c r="G709" s="39"/>
    </row>
    <row r="710">
      <c r="A710" s="39"/>
      <c r="B710" s="42"/>
      <c r="C710" s="39"/>
      <c r="D710" s="43"/>
      <c r="E710" s="39"/>
      <c r="F710" s="39"/>
      <c r="G710" s="39"/>
    </row>
    <row r="711">
      <c r="A711" s="39"/>
      <c r="B711" s="42"/>
      <c r="C711" s="39"/>
      <c r="D711" s="43"/>
      <c r="E711" s="39"/>
      <c r="F711" s="39"/>
      <c r="G711" s="39"/>
    </row>
    <row r="712">
      <c r="A712" s="39"/>
      <c r="B712" s="42"/>
      <c r="C712" s="39"/>
      <c r="D712" s="43"/>
      <c r="E712" s="39"/>
      <c r="F712" s="39"/>
      <c r="G712" s="39"/>
    </row>
    <row r="713">
      <c r="A713" s="39"/>
      <c r="B713" s="42"/>
      <c r="C713" s="39"/>
      <c r="D713" s="43"/>
      <c r="E713" s="39"/>
      <c r="F713" s="39"/>
      <c r="G713" s="39"/>
    </row>
    <row r="714">
      <c r="A714" s="39"/>
      <c r="B714" s="42"/>
      <c r="C714" s="39"/>
      <c r="D714" s="43"/>
      <c r="E714" s="39"/>
      <c r="F714" s="39"/>
      <c r="G714" s="39"/>
    </row>
    <row r="715">
      <c r="A715" s="39"/>
      <c r="B715" s="42"/>
      <c r="C715" s="39"/>
      <c r="D715" s="43"/>
      <c r="E715" s="39"/>
      <c r="F715" s="39"/>
      <c r="G715" s="39"/>
    </row>
    <row r="716">
      <c r="A716" s="39"/>
      <c r="B716" s="42"/>
      <c r="C716" s="39"/>
      <c r="D716" s="43"/>
      <c r="E716" s="39"/>
      <c r="F716" s="39"/>
      <c r="G716" s="39"/>
    </row>
    <row r="717">
      <c r="A717" s="39"/>
      <c r="B717" s="42"/>
      <c r="C717" s="39"/>
      <c r="D717" s="43"/>
      <c r="E717" s="39"/>
      <c r="F717" s="39"/>
      <c r="G717" s="39"/>
    </row>
    <row r="718">
      <c r="A718" s="39"/>
      <c r="B718" s="42"/>
      <c r="C718" s="39"/>
      <c r="D718" s="43"/>
      <c r="E718" s="39"/>
      <c r="F718" s="39"/>
      <c r="G718" s="39"/>
    </row>
    <row r="719">
      <c r="A719" s="39"/>
      <c r="B719" s="42"/>
      <c r="C719" s="39"/>
      <c r="D719" s="43"/>
      <c r="E719" s="39"/>
      <c r="F719" s="39"/>
      <c r="G719" s="39"/>
    </row>
    <row r="720">
      <c r="A720" s="39"/>
      <c r="B720" s="42"/>
      <c r="C720" s="39"/>
      <c r="D720" s="43"/>
      <c r="E720" s="39"/>
      <c r="F720" s="39"/>
      <c r="G720" s="39"/>
    </row>
    <row r="721">
      <c r="A721" s="39"/>
      <c r="B721" s="42"/>
      <c r="C721" s="39"/>
      <c r="D721" s="43"/>
      <c r="E721" s="39"/>
      <c r="F721" s="39"/>
      <c r="G721" s="39"/>
    </row>
    <row r="722">
      <c r="A722" s="39"/>
      <c r="B722" s="42"/>
      <c r="C722" s="39"/>
      <c r="D722" s="43"/>
      <c r="E722" s="39"/>
      <c r="F722" s="39"/>
      <c r="G722" s="39"/>
    </row>
    <row r="723">
      <c r="A723" s="39"/>
      <c r="B723" s="42"/>
      <c r="C723" s="39"/>
      <c r="D723" s="43"/>
      <c r="E723" s="39"/>
      <c r="F723" s="39"/>
      <c r="G723" s="39"/>
    </row>
    <row r="724">
      <c r="A724" s="39"/>
      <c r="B724" s="42"/>
      <c r="C724" s="39"/>
      <c r="D724" s="43"/>
      <c r="E724" s="39"/>
      <c r="F724" s="39"/>
      <c r="G724" s="39"/>
    </row>
    <row r="725">
      <c r="A725" s="39"/>
      <c r="B725" s="42"/>
      <c r="C725" s="39"/>
      <c r="D725" s="43"/>
      <c r="E725" s="39"/>
      <c r="F725" s="39"/>
      <c r="G725" s="39"/>
    </row>
    <row r="726">
      <c r="A726" s="39"/>
      <c r="B726" s="42"/>
      <c r="C726" s="39"/>
      <c r="D726" s="43"/>
      <c r="E726" s="39"/>
      <c r="F726" s="39"/>
      <c r="G726" s="39"/>
    </row>
    <row r="727">
      <c r="A727" s="39"/>
      <c r="B727" s="42"/>
      <c r="C727" s="39"/>
      <c r="D727" s="43"/>
      <c r="E727" s="39"/>
      <c r="F727" s="39"/>
      <c r="G727" s="39"/>
    </row>
    <row r="728">
      <c r="A728" s="39"/>
      <c r="B728" s="42"/>
      <c r="C728" s="39"/>
      <c r="D728" s="43"/>
      <c r="E728" s="39"/>
      <c r="F728" s="39"/>
      <c r="G728" s="39"/>
    </row>
    <row r="729">
      <c r="A729" s="39"/>
      <c r="B729" s="42"/>
      <c r="C729" s="39"/>
      <c r="D729" s="43"/>
      <c r="E729" s="39"/>
      <c r="F729" s="39"/>
      <c r="G729" s="39"/>
    </row>
    <row r="730">
      <c r="A730" s="39"/>
      <c r="B730" s="42"/>
      <c r="C730" s="39"/>
      <c r="D730" s="43"/>
      <c r="E730" s="39"/>
      <c r="F730" s="39"/>
      <c r="G730" s="39"/>
    </row>
    <row r="731">
      <c r="A731" s="39"/>
      <c r="B731" s="42"/>
      <c r="C731" s="39"/>
      <c r="D731" s="43"/>
      <c r="E731" s="39"/>
      <c r="F731" s="39"/>
      <c r="G731" s="39"/>
    </row>
    <row r="732">
      <c r="A732" s="39"/>
      <c r="B732" s="42"/>
      <c r="C732" s="39"/>
      <c r="D732" s="43"/>
      <c r="E732" s="39"/>
      <c r="F732" s="39"/>
      <c r="G732" s="39"/>
    </row>
    <row r="733">
      <c r="A733" s="39"/>
      <c r="B733" s="42"/>
      <c r="C733" s="39"/>
      <c r="D733" s="43"/>
      <c r="E733" s="39"/>
      <c r="F733" s="39"/>
      <c r="G733" s="39"/>
    </row>
    <row r="734">
      <c r="A734" s="39"/>
      <c r="B734" s="42"/>
      <c r="C734" s="39"/>
      <c r="D734" s="43"/>
      <c r="E734" s="39"/>
      <c r="F734" s="39"/>
      <c r="G734" s="39"/>
    </row>
    <row r="735">
      <c r="A735" s="39"/>
      <c r="B735" s="42"/>
      <c r="C735" s="39"/>
      <c r="D735" s="43"/>
      <c r="E735" s="39"/>
      <c r="F735" s="39"/>
      <c r="G735" s="39"/>
    </row>
    <row r="736">
      <c r="A736" s="39"/>
      <c r="B736" s="42"/>
      <c r="C736" s="39"/>
      <c r="D736" s="43"/>
      <c r="E736" s="39"/>
      <c r="F736" s="39"/>
      <c r="G736" s="39"/>
    </row>
    <row r="737">
      <c r="A737" s="39"/>
      <c r="B737" s="42"/>
      <c r="C737" s="39"/>
      <c r="D737" s="43"/>
      <c r="E737" s="39"/>
      <c r="F737" s="39"/>
      <c r="G737" s="39"/>
    </row>
    <row r="738">
      <c r="A738" s="39"/>
      <c r="B738" s="42"/>
      <c r="C738" s="39"/>
      <c r="D738" s="43"/>
      <c r="E738" s="39"/>
      <c r="F738" s="39"/>
      <c r="G738" s="39"/>
    </row>
    <row r="739">
      <c r="A739" s="39"/>
      <c r="B739" s="42"/>
      <c r="C739" s="39"/>
      <c r="D739" s="43"/>
      <c r="E739" s="39"/>
      <c r="F739" s="39"/>
      <c r="G739" s="39"/>
    </row>
    <row r="740">
      <c r="A740" s="39"/>
      <c r="B740" s="42"/>
      <c r="C740" s="39"/>
      <c r="D740" s="43"/>
      <c r="E740" s="39"/>
      <c r="F740" s="39"/>
      <c r="G740" s="39"/>
    </row>
    <row r="741">
      <c r="A741" s="39"/>
      <c r="B741" s="42"/>
      <c r="C741" s="39"/>
      <c r="D741" s="43"/>
      <c r="E741" s="39"/>
      <c r="F741" s="39"/>
      <c r="G741" s="39"/>
    </row>
    <row r="742">
      <c r="A742" s="39"/>
      <c r="B742" s="42"/>
      <c r="C742" s="39"/>
      <c r="D742" s="43"/>
      <c r="E742" s="39"/>
      <c r="F742" s="39"/>
      <c r="G742" s="39"/>
    </row>
    <row r="743">
      <c r="A743" s="39"/>
      <c r="B743" s="42"/>
      <c r="C743" s="39"/>
      <c r="D743" s="43"/>
      <c r="E743" s="39"/>
      <c r="F743" s="39"/>
      <c r="G743" s="39"/>
    </row>
    <row r="744">
      <c r="A744" s="39"/>
      <c r="B744" s="42"/>
      <c r="C744" s="39"/>
      <c r="D744" s="43"/>
      <c r="E744" s="39"/>
      <c r="F744" s="39"/>
      <c r="G744" s="39"/>
    </row>
    <row r="745">
      <c r="A745" s="39"/>
      <c r="B745" s="42"/>
      <c r="C745" s="39"/>
      <c r="D745" s="43"/>
      <c r="E745" s="39"/>
      <c r="F745" s="39"/>
      <c r="G745" s="39"/>
    </row>
    <row r="746">
      <c r="A746" s="39"/>
      <c r="B746" s="42"/>
      <c r="C746" s="39"/>
      <c r="D746" s="43"/>
      <c r="E746" s="39"/>
      <c r="F746" s="39"/>
      <c r="G746" s="39"/>
    </row>
    <row r="747">
      <c r="A747" s="39"/>
      <c r="B747" s="42"/>
      <c r="C747" s="39"/>
      <c r="D747" s="43"/>
      <c r="E747" s="39"/>
      <c r="F747" s="39"/>
      <c r="G747" s="39"/>
    </row>
    <row r="748">
      <c r="A748" s="39"/>
      <c r="B748" s="42"/>
      <c r="C748" s="39"/>
      <c r="D748" s="43"/>
      <c r="E748" s="39"/>
      <c r="F748" s="39"/>
      <c r="G748" s="39"/>
    </row>
    <row r="749">
      <c r="A749" s="39"/>
      <c r="B749" s="42"/>
      <c r="C749" s="39"/>
      <c r="D749" s="43"/>
      <c r="E749" s="39"/>
      <c r="F749" s="39"/>
      <c r="G749" s="39"/>
    </row>
    <row r="750">
      <c r="A750" s="39"/>
      <c r="B750" s="42"/>
      <c r="C750" s="39"/>
      <c r="D750" s="43"/>
      <c r="E750" s="39"/>
      <c r="F750" s="39"/>
      <c r="G750" s="39"/>
    </row>
    <row r="751">
      <c r="A751" s="39"/>
      <c r="B751" s="42"/>
      <c r="C751" s="39"/>
      <c r="D751" s="43"/>
      <c r="E751" s="39"/>
      <c r="F751" s="39"/>
      <c r="G751" s="39"/>
    </row>
    <row r="752">
      <c r="A752" s="39"/>
      <c r="B752" s="42"/>
      <c r="C752" s="39"/>
      <c r="D752" s="43"/>
      <c r="E752" s="39"/>
      <c r="F752" s="39"/>
      <c r="G752" s="39"/>
    </row>
    <row r="753">
      <c r="A753" s="39"/>
      <c r="B753" s="42"/>
      <c r="C753" s="39"/>
      <c r="D753" s="43"/>
      <c r="E753" s="39"/>
      <c r="F753" s="39"/>
      <c r="G753" s="39"/>
    </row>
    <row r="754">
      <c r="A754" s="39"/>
      <c r="B754" s="42"/>
      <c r="C754" s="39"/>
      <c r="D754" s="43"/>
      <c r="E754" s="39"/>
      <c r="F754" s="39"/>
      <c r="G754" s="39"/>
    </row>
    <row r="755">
      <c r="A755" s="39"/>
      <c r="B755" s="42"/>
      <c r="C755" s="39"/>
      <c r="D755" s="43"/>
      <c r="E755" s="39"/>
      <c r="F755" s="39"/>
      <c r="G755" s="39"/>
    </row>
    <row r="756">
      <c r="A756" s="39"/>
      <c r="B756" s="42"/>
      <c r="C756" s="39"/>
      <c r="D756" s="43"/>
      <c r="E756" s="39"/>
      <c r="F756" s="39"/>
      <c r="G756" s="39"/>
    </row>
    <row r="757">
      <c r="A757" s="39"/>
      <c r="B757" s="42"/>
      <c r="C757" s="39"/>
      <c r="D757" s="43"/>
      <c r="E757" s="39"/>
      <c r="F757" s="39"/>
      <c r="G757" s="39"/>
    </row>
    <row r="758">
      <c r="A758" s="39"/>
      <c r="B758" s="42"/>
      <c r="C758" s="39"/>
      <c r="D758" s="43"/>
      <c r="E758" s="39"/>
      <c r="F758" s="39"/>
      <c r="G758" s="39"/>
    </row>
    <row r="759">
      <c r="A759" s="39"/>
      <c r="B759" s="42"/>
      <c r="C759" s="39"/>
      <c r="D759" s="43"/>
      <c r="E759" s="39"/>
      <c r="F759" s="39"/>
      <c r="G759" s="39"/>
    </row>
    <row r="760">
      <c r="A760" s="39"/>
      <c r="B760" s="42"/>
      <c r="C760" s="39"/>
      <c r="D760" s="43"/>
      <c r="E760" s="39"/>
      <c r="F760" s="39"/>
      <c r="G760" s="39"/>
    </row>
    <row r="761">
      <c r="A761" s="39"/>
      <c r="B761" s="42"/>
      <c r="C761" s="39"/>
      <c r="D761" s="43"/>
      <c r="E761" s="39"/>
      <c r="F761" s="39"/>
      <c r="G761" s="39"/>
    </row>
    <row r="762">
      <c r="A762" s="39"/>
      <c r="B762" s="42"/>
      <c r="C762" s="39"/>
      <c r="D762" s="43"/>
      <c r="E762" s="39"/>
      <c r="F762" s="39"/>
      <c r="G762" s="39"/>
    </row>
    <row r="763">
      <c r="A763" s="39"/>
      <c r="B763" s="42"/>
      <c r="C763" s="39"/>
      <c r="D763" s="43"/>
      <c r="E763" s="39"/>
      <c r="F763" s="39"/>
      <c r="G763" s="39"/>
    </row>
    <row r="764">
      <c r="A764" s="39"/>
      <c r="B764" s="42"/>
      <c r="C764" s="39"/>
      <c r="D764" s="43"/>
      <c r="E764" s="39"/>
      <c r="F764" s="39"/>
      <c r="G764" s="39"/>
    </row>
    <row r="765">
      <c r="A765" s="39"/>
      <c r="B765" s="42"/>
      <c r="C765" s="39"/>
      <c r="D765" s="43"/>
      <c r="E765" s="39"/>
      <c r="F765" s="39"/>
      <c r="G765" s="39"/>
    </row>
    <row r="766">
      <c r="A766" s="39"/>
      <c r="B766" s="42"/>
      <c r="C766" s="39"/>
      <c r="D766" s="43"/>
      <c r="E766" s="39"/>
      <c r="F766" s="39"/>
      <c r="G766" s="39"/>
    </row>
    <row r="767">
      <c r="A767" s="39"/>
      <c r="B767" s="42"/>
      <c r="C767" s="39"/>
      <c r="D767" s="43"/>
      <c r="E767" s="39"/>
      <c r="F767" s="39"/>
      <c r="G767" s="39"/>
    </row>
    <row r="768">
      <c r="A768" s="39"/>
      <c r="B768" s="42"/>
      <c r="C768" s="39"/>
      <c r="D768" s="43"/>
      <c r="E768" s="39"/>
      <c r="F768" s="39"/>
      <c r="G768" s="39"/>
    </row>
    <row r="769">
      <c r="A769" s="39"/>
      <c r="B769" s="42"/>
      <c r="C769" s="39"/>
      <c r="D769" s="43"/>
      <c r="E769" s="39"/>
      <c r="F769" s="39"/>
      <c r="G769" s="39"/>
    </row>
    <row r="770">
      <c r="A770" s="39"/>
      <c r="B770" s="42"/>
      <c r="C770" s="39"/>
      <c r="D770" s="43"/>
      <c r="E770" s="39"/>
      <c r="F770" s="39"/>
      <c r="G770" s="39"/>
    </row>
    <row r="771">
      <c r="A771" s="39"/>
      <c r="B771" s="42"/>
      <c r="C771" s="39"/>
      <c r="D771" s="43"/>
      <c r="E771" s="39"/>
      <c r="F771" s="39"/>
      <c r="G771" s="39"/>
    </row>
    <row r="772">
      <c r="A772" s="39"/>
      <c r="B772" s="42"/>
      <c r="C772" s="39"/>
      <c r="D772" s="43"/>
      <c r="E772" s="39"/>
      <c r="F772" s="39"/>
      <c r="G772" s="39"/>
    </row>
    <row r="773">
      <c r="A773" s="39"/>
      <c r="B773" s="42"/>
      <c r="C773" s="39"/>
      <c r="D773" s="43"/>
      <c r="E773" s="39"/>
      <c r="F773" s="39"/>
      <c r="G773" s="39"/>
    </row>
    <row r="774">
      <c r="A774" s="39"/>
      <c r="B774" s="42"/>
      <c r="C774" s="39"/>
      <c r="D774" s="43"/>
      <c r="E774" s="39"/>
      <c r="F774" s="39"/>
      <c r="G774" s="39"/>
    </row>
    <row r="775">
      <c r="A775" s="39"/>
      <c r="B775" s="42"/>
      <c r="C775" s="39"/>
      <c r="D775" s="43"/>
      <c r="E775" s="39"/>
      <c r="F775" s="39"/>
      <c r="G775" s="39"/>
    </row>
    <row r="776">
      <c r="A776" s="39"/>
      <c r="B776" s="42"/>
      <c r="C776" s="39"/>
      <c r="D776" s="43"/>
      <c r="E776" s="39"/>
      <c r="F776" s="39"/>
      <c r="G776" s="39"/>
    </row>
    <row r="777">
      <c r="A777" s="39"/>
      <c r="B777" s="42"/>
      <c r="C777" s="39"/>
      <c r="D777" s="43"/>
      <c r="E777" s="39"/>
      <c r="F777" s="39"/>
      <c r="G777" s="39"/>
    </row>
    <row r="778">
      <c r="A778" s="39"/>
      <c r="B778" s="42"/>
      <c r="C778" s="39"/>
      <c r="D778" s="43"/>
      <c r="E778" s="39"/>
      <c r="F778" s="39"/>
      <c r="G778" s="39"/>
    </row>
    <row r="779">
      <c r="A779" s="39"/>
      <c r="B779" s="42"/>
      <c r="C779" s="39"/>
      <c r="D779" s="43"/>
      <c r="E779" s="39"/>
      <c r="F779" s="39"/>
      <c r="G779" s="39"/>
    </row>
    <row r="780">
      <c r="A780" s="39"/>
      <c r="B780" s="42"/>
      <c r="C780" s="39"/>
      <c r="D780" s="43"/>
      <c r="E780" s="39"/>
      <c r="F780" s="39"/>
      <c r="G780" s="39"/>
    </row>
    <row r="781">
      <c r="A781" s="39"/>
      <c r="B781" s="42"/>
      <c r="C781" s="39"/>
      <c r="D781" s="43"/>
      <c r="E781" s="39"/>
      <c r="F781" s="39"/>
      <c r="G781" s="39"/>
    </row>
    <row r="782">
      <c r="A782" s="39"/>
      <c r="B782" s="42"/>
      <c r="C782" s="39"/>
      <c r="D782" s="43"/>
      <c r="E782" s="39"/>
      <c r="F782" s="39"/>
      <c r="G782" s="39"/>
    </row>
    <row r="783">
      <c r="A783" s="39"/>
      <c r="B783" s="42"/>
      <c r="C783" s="39"/>
      <c r="D783" s="43"/>
      <c r="E783" s="39"/>
      <c r="F783" s="39"/>
      <c r="G783" s="39"/>
    </row>
    <row r="784">
      <c r="A784" s="39"/>
      <c r="B784" s="42"/>
      <c r="C784" s="39"/>
      <c r="D784" s="43"/>
      <c r="E784" s="39"/>
      <c r="F784" s="39"/>
      <c r="G784" s="39"/>
    </row>
    <row r="785">
      <c r="A785" s="39"/>
      <c r="B785" s="42"/>
      <c r="C785" s="39"/>
      <c r="D785" s="43"/>
      <c r="E785" s="39"/>
      <c r="F785" s="39"/>
      <c r="G785" s="39"/>
    </row>
    <row r="786">
      <c r="A786" s="39"/>
      <c r="B786" s="42"/>
      <c r="C786" s="39"/>
      <c r="D786" s="43"/>
      <c r="E786" s="39"/>
      <c r="F786" s="39"/>
      <c r="G786" s="39"/>
    </row>
    <row r="787">
      <c r="A787" s="39"/>
      <c r="B787" s="42"/>
      <c r="C787" s="39"/>
      <c r="D787" s="43"/>
      <c r="E787" s="39"/>
      <c r="F787" s="39"/>
      <c r="G787" s="39"/>
    </row>
    <row r="788">
      <c r="A788" s="39"/>
      <c r="B788" s="42"/>
      <c r="C788" s="39"/>
      <c r="D788" s="43"/>
      <c r="E788" s="39"/>
      <c r="F788" s="39"/>
      <c r="G788" s="39"/>
    </row>
    <row r="789">
      <c r="A789" s="39"/>
      <c r="B789" s="42"/>
      <c r="C789" s="39"/>
      <c r="D789" s="43"/>
      <c r="E789" s="39"/>
      <c r="F789" s="39"/>
      <c r="G789" s="39"/>
    </row>
    <row r="790">
      <c r="A790" s="39"/>
      <c r="B790" s="42"/>
      <c r="C790" s="39"/>
      <c r="D790" s="43"/>
      <c r="E790" s="39"/>
      <c r="F790" s="39"/>
      <c r="G790" s="39"/>
    </row>
    <row r="791">
      <c r="A791" s="39"/>
      <c r="B791" s="42"/>
      <c r="C791" s="39"/>
      <c r="D791" s="43"/>
      <c r="E791" s="39"/>
      <c r="F791" s="39"/>
      <c r="G791" s="39"/>
    </row>
    <row r="792">
      <c r="A792" s="39"/>
      <c r="B792" s="42"/>
      <c r="C792" s="39"/>
      <c r="D792" s="43"/>
      <c r="E792" s="39"/>
      <c r="F792" s="39"/>
      <c r="G792" s="39"/>
    </row>
    <row r="793">
      <c r="A793" s="39"/>
      <c r="B793" s="42"/>
      <c r="C793" s="39"/>
      <c r="D793" s="43"/>
      <c r="E793" s="39"/>
      <c r="F793" s="39"/>
      <c r="G793" s="39"/>
    </row>
    <row r="794">
      <c r="A794" s="39"/>
      <c r="B794" s="42"/>
      <c r="C794" s="39"/>
      <c r="D794" s="43"/>
      <c r="E794" s="39"/>
      <c r="F794" s="39"/>
      <c r="G794" s="39"/>
    </row>
    <row r="795">
      <c r="A795" s="39"/>
      <c r="B795" s="42"/>
      <c r="C795" s="39"/>
      <c r="D795" s="43"/>
      <c r="E795" s="39"/>
      <c r="F795" s="39"/>
      <c r="G795" s="39"/>
    </row>
    <row r="796">
      <c r="A796" s="39"/>
      <c r="B796" s="42"/>
      <c r="C796" s="39"/>
      <c r="D796" s="43"/>
      <c r="E796" s="39"/>
      <c r="F796" s="39"/>
      <c r="G796" s="39"/>
    </row>
    <row r="797">
      <c r="A797" s="39"/>
      <c r="B797" s="42"/>
      <c r="C797" s="39"/>
      <c r="D797" s="43"/>
      <c r="E797" s="39"/>
      <c r="F797" s="39"/>
      <c r="G797" s="39"/>
    </row>
    <row r="798">
      <c r="A798" s="39"/>
      <c r="B798" s="42"/>
      <c r="C798" s="39"/>
      <c r="D798" s="43"/>
      <c r="E798" s="39"/>
      <c r="F798" s="39"/>
      <c r="G798" s="39"/>
    </row>
    <row r="799">
      <c r="A799" s="39"/>
      <c r="B799" s="42"/>
      <c r="C799" s="39"/>
      <c r="D799" s="43"/>
      <c r="E799" s="39"/>
      <c r="F799" s="39"/>
      <c r="G799" s="39"/>
    </row>
    <row r="800">
      <c r="A800" s="39"/>
      <c r="B800" s="42"/>
      <c r="C800" s="39"/>
      <c r="D800" s="43"/>
      <c r="E800" s="39"/>
      <c r="F800" s="39"/>
      <c r="G800" s="39"/>
    </row>
    <row r="801">
      <c r="A801" s="39"/>
      <c r="B801" s="42"/>
      <c r="C801" s="39"/>
      <c r="D801" s="43"/>
      <c r="E801" s="39"/>
      <c r="F801" s="39"/>
      <c r="G801" s="39"/>
    </row>
    <row r="802">
      <c r="A802" s="39"/>
      <c r="B802" s="42"/>
      <c r="C802" s="39"/>
      <c r="D802" s="43"/>
      <c r="E802" s="39"/>
      <c r="F802" s="39"/>
      <c r="G802" s="39"/>
    </row>
    <row r="803">
      <c r="A803" s="39"/>
      <c r="B803" s="42"/>
      <c r="C803" s="39"/>
      <c r="D803" s="43"/>
      <c r="E803" s="39"/>
      <c r="F803" s="39"/>
      <c r="G803" s="39"/>
    </row>
    <row r="804">
      <c r="A804" s="39"/>
      <c r="B804" s="42"/>
      <c r="C804" s="39"/>
      <c r="D804" s="43"/>
      <c r="E804" s="39"/>
      <c r="F804" s="39"/>
      <c r="G804" s="39"/>
    </row>
    <row r="805">
      <c r="A805" s="39"/>
      <c r="B805" s="42"/>
      <c r="C805" s="39"/>
      <c r="D805" s="43"/>
      <c r="E805" s="39"/>
      <c r="F805" s="39"/>
      <c r="G805" s="39"/>
    </row>
    <row r="806">
      <c r="A806" s="39"/>
      <c r="B806" s="42"/>
      <c r="C806" s="39"/>
      <c r="D806" s="43"/>
      <c r="E806" s="39"/>
      <c r="F806" s="39"/>
      <c r="G806" s="39"/>
    </row>
    <row r="807">
      <c r="A807" s="39"/>
      <c r="B807" s="42"/>
      <c r="C807" s="39"/>
      <c r="D807" s="43"/>
      <c r="E807" s="39"/>
      <c r="F807" s="39"/>
      <c r="G807" s="39"/>
    </row>
    <row r="808">
      <c r="A808" s="39"/>
      <c r="B808" s="42"/>
      <c r="C808" s="39"/>
      <c r="D808" s="43"/>
      <c r="E808" s="39"/>
      <c r="F808" s="39"/>
      <c r="G808" s="39"/>
    </row>
    <row r="809">
      <c r="A809" s="39"/>
      <c r="B809" s="42"/>
      <c r="C809" s="39"/>
      <c r="D809" s="43"/>
      <c r="E809" s="39"/>
      <c r="F809" s="39"/>
      <c r="G809" s="39"/>
    </row>
    <row r="810">
      <c r="A810" s="39"/>
      <c r="B810" s="42"/>
      <c r="C810" s="39"/>
      <c r="D810" s="43"/>
      <c r="E810" s="39"/>
      <c r="F810" s="39"/>
      <c r="G810" s="39"/>
    </row>
    <row r="811">
      <c r="A811" s="39"/>
      <c r="B811" s="42"/>
      <c r="C811" s="39"/>
      <c r="D811" s="43"/>
      <c r="E811" s="39"/>
      <c r="F811" s="39"/>
      <c r="G811" s="39"/>
    </row>
    <row r="812">
      <c r="A812" s="39"/>
      <c r="B812" s="42"/>
      <c r="C812" s="39"/>
      <c r="D812" s="43"/>
      <c r="E812" s="39"/>
      <c r="F812" s="39"/>
      <c r="G812" s="39"/>
    </row>
    <row r="813">
      <c r="A813" s="39"/>
      <c r="B813" s="42"/>
      <c r="C813" s="39"/>
      <c r="D813" s="43"/>
      <c r="E813" s="39"/>
      <c r="F813" s="39"/>
      <c r="G813" s="39"/>
    </row>
    <row r="814">
      <c r="A814" s="39"/>
      <c r="B814" s="42"/>
      <c r="C814" s="39"/>
      <c r="D814" s="43"/>
      <c r="E814" s="39"/>
      <c r="F814" s="39"/>
      <c r="G814" s="39"/>
    </row>
    <row r="815">
      <c r="A815" s="39"/>
      <c r="B815" s="42"/>
      <c r="C815" s="39"/>
      <c r="D815" s="43"/>
      <c r="E815" s="39"/>
      <c r="F815" s="39"/>
      <c r="G815" s="39"/>
    </row>
    <row r="816">
      <c r="A816" s="39"/>
      <c r="B816" s="42"/>
      <c r="C816" s="39"/>
      <c r="D816" s="43"/>
      <c r="E816" s="39"/>
      <c r="F816" s="39"/>
      <c r="G816" s="39"/>
    </row>
    <row r="817">
      <c r="A817" s="39"/>
      <c r="B817" s="42"/>
      <c r="C817" s="39"/>
      <c r="D817" s="43"/>
      <c r="E817" s="39"/>
      <c r="F817" s="39"/>
      <c r="G817" s="39"/>
    </row>
    <row r="818">
      <c r="A818" s="39"/>
      <c r="B818" s="42"/>
      <c r="C818" s="39"/>
      <c r="D818" s="43"/>
      <c r="E818" s="39"/>
      <c r="F818" s="39"/>
      <c r="G818" s="39"/>
    </row>
    <row r="819">
      <c r="A819" s="39"/>
      <c r="B819" s="42"/>
      <c r="C819" s="39"/>
      <c r="D819" s="43"/>
      <c r="E819" s="39"/>
      <c r="F819" s="39"/>
      <c r="G819" s="39"/>
    </row>
    <row r="820">
      <c r="A820" s="39"/>
      <c r="B820" s="42"/>
      <c r="C820" s="39"/>
      <c r="D820" s="43"/>
      <c r="E820" s="39"/>
      <c r="F820" s="39"/>
      <c r="G820" s="39"/>
    </row>
    <row r="821">
      <c r="A821" s="39"/>
      <c r="B821" s="42"/>
      <c r="C821" s="39"/>
      <c r="D821" s="43"/>
      <c r="E821" s="39"/>
      <c r="F821" s="39"/>
      <c r="G821" s="39"/>
    </row>
    <row r="822">
      <c r="A822" s="39"/>
      <c r="B822" s="42"/>
      <c r="C822" s="39"/>
      <c r="D822" s="43"/>
      <c r="E822" s="39"/>
      <c r="F822" s="39"/>
      <c r="G822" s="39"/>
    </row>
    <row r="823">
      <c r="A823" s="39"/>
      <c r="B823" s="42"/>
      <c r="C823" s="39"/>
      <c r="D823" s="43"/>
      <c r="E823" s="39"/>
      <c r="F823" s="39"/>
      <c r="G823" s="39"/>
    </row>
    <row r="824">
      <c r="A824" s="39"/>
      <c r="B824" s="42"/>
      <c r="C824" s="39"/>
      <c r="D824" s="43"/>
      <c r="E824" s="39"/>
      <c r="F824" s="39"/>
      <c r="G824" s="39"/>
    </row>
    <row r="825">
      <c r="A825" s="39"/>
      <c r="B825" s="42"/>
      <c r="C825" s="39"/>
      <c r="D825" s="43"/>
      <c r="E825" s="39"/>
      <c r="F825" s="39"/>
      <c r="G825" s="39"/>
    </row>
    <row r="826">
      <c r="A826" s="39"/>
      <c r="B826" s="42"/>
      <c r="C826" s="39"/>
      <c r="D826" s="43"/>
      <c r="E826" s="39"/>
      <c r="F826" s="39"/>
      <c r="G826" s="39"/>
    </row>
    <row r="827">
      <c r="A827" s="39"/>
      <c r="B827" s="42"/>
      <c r="C827" s="39"/>
      <c r="D827" s="43"/>
      <c r="E827" s="39"/>
      <c r="F827" s="39"/>
      <c r="G827" s="39"/>
    </row>
    <row r="828">
      <c r="A828" s="39"/>
      <c r="B828" s="42"/>
      <c r="C828" s="39"/>
      <c r="D828" s="43"/>
      <c r="E828" s="39"/>
      <c r="F828" s="39"/>
      <c r="G828" s="39"/>
    </row>
    <row r="829">
      <c r="A829" s="39"/>
      <c r="B829" s="42"/>
      <c r="C829" s="39"/>
      <c r="D829" s="43"/>
      <c r="E829" s="39"/>
      <c r="F829" s="39"/>
      <c r="G829" s="39"/>
    </row>
    <row r="830">
      <c r="A830" s="39"/>
      <c r="B830" s="42"/>
      <c r="C830" s="39"/>
      <c r="D830" s="43"/>
      <c r="E830" s="39"/>
      <c r="F830" s="39"/>
      <c r="G830" s="39"/>
    </row>
    <row r="831">
      <c r="A831" s="39"/>
      <c r="B831" s="42"/>
      <c r="C831" s="39"/>
      <c r="D831" s="43"/>
      <c r="E831" s="39"/>
      <c r="F831" s="39"/>
      <c r="G831" s="39"/>
    </row>
    <row r="832">
      <c r="A832" s="39"/>
      <c r="B832" s="42"/>
      <c r="C832" s="39"/>
      <c r="D832" s="43"/>
      <c r="E832" s="39"/>
      <c r="F832" s="39"/>
      <c r="G832" s="39"/>
    </row>
    <row r="833">
      <c r="A833" s="39"/>
      <c r="B833" s="42"/>
      <c r="C833" s="39"/>
      <c r="D833" s="43"/>
      <c r="E833" s="39"/>
      <c r="F833" s="39"/>
      <c r="G833" s="39"/>
    </row>
    <row r="834">
      <c r="A834" s="39"/>
      <c r="B834" s="42"/>
      <c r="C834" s="39"/>
      <c r="D834" s="43"/>
      <c r="E834" s="39"/>
      <c r="F834" s="39"/>
      <c r="G834" s="39"/>
    </row>
    <row r="835">
      <c r="A835" s="39"/>
      <c r="B835" s="42"/>
      <c r="C835" s="39"/>
      <c r="D835" s="43"/>
      <c r="E835" s="39"/>
      <c r="F835" s="39"/>
      <c r="G835" s="39"/>
    </row>
    <row r="836">
      <c r="A836" s="39"/>
      <c r="B836" s="42"/>
      <c r="C836" s="39"/>
      <c r="D836" s="43"/>
      <c r="E836" s="39"/>
      <c r="F836" s="39"/>
      <c r="G836" s="39"/>
    </row>
    <row r="837">
      <c r="A837" s="39"/>
      <c r="B837" s="42"/>
      <c r="C837" s="39"/>
      <c r="D837" s="43"/>
      <c r="E837" s="39"/>
      <c r="F837" s="39"/>
      <c r="G837" s="39"/>
    </row>
    <row r="838">
      <c r="A838" s="39"/>
      <c r="B838" s="42"/>
      <c r="C838" s="39"/>
      <c r="D838" s="43"/>
      <c r="E838" s="39"/>
      <c r="F838" s="39"/>
      <c r="G838" s="39"/>
    </row>
    <row r="839">
      <c r="A839" s="39"/>
      <c r="B839" s="42"/>
      <c r="C839" s="39"/>
      <c r="D839" s="43"/>
      <c r="E839" s="39"/>
      <c r="F839" s="39"/>
      <c r="G839" s="39"/>
    </row>
    <row r="840">
      <c r="A840" s="39"/>
      <c r="B840" s="42"/>
      <c r="C840" s="39"/>
      <c r="D840" s="43"/>
      <c r="E840" s="39"/>
      <c r="F840" s="39"/>
      <c r="G840" s="39"/>
    </row>
    <row r="841">
      <c r="A841" s="39"/>
      <c r="B841" s="42"/>
      <c r="C841" s="39"/>
      <c r="D841" s="43"/>
      <c r="E841" s="39"/>
      <c r="F841" s="39"/>
      <c r="G841" s="39"/>
    </row>
    <row r="842">
      <c r="A842" s="39"/>
      <c r="B842" s="42"/>
      <c r="C842" s="39"/>
      <c r="D842" s="43"/>
      <c r="E842" s="39"/>
      <c r="F842" s="39"/>
      <c r="G842" s="39"/>
    </row>
    <row r="843">
      <c r="A843" s="39"/>
      <c r="B843" s="42"/>
      <c r="C843" s="39"/>
      <c r="D843" s="43"/>
      <c r="E843" s="39"/>
      <c r="F843" s="39"/>
      <c r="G843" s="39"/>
    </row>
    <row r="844">
      <c r="A844" s="39"/>
      <c r="B844" s="42"/>
      <c r="C844" s="39"/>
      <c r="D844" s="43"/>
      <c r="E844" s="39"/>
      <c r="F844" s="39"/>
      <c r="G844" s="39"/>
    </row>
    <row r="845">
      <c r="A845" s="39"/>
      <c r="B845" s="42"/>
      <c r="C845" s="39"/>
      <c r="D845" s="43"/>
      <c r="E845" s="39"/>
      <c r="F845" s="39"/>
      <c r="G845" s="39"/>
    </row>
    <row r="846">
      <c r="A846" s="39"/>
      <c r="B846" s="42"/>
      <c r="C846" s="39"/>
      <c r="D846" s="43"/>
      <c r="E846" s="39"/>
      <c r="F846" s="39"/>
      <c r="G846" s="39"/>
    </row>
    <row r="847">
      <c r="A847" s="39"/>
      <c r="B847" s="42"/>
      <c r="C847" s="39"/>
      <c r="D847" s="43"/>
      <c r="E847" s="39"/>
      <c r="F847" s="39"/>
      <c r="G847" s="39"/>
    </row>
    <row r="848">
      <c r="A848" s="39"/>
      <c r="B848" s="42"/>
      <c r="C848" s="39"/>
      <c r="D848" s="43"/>
      <c r="E848" s="39"/>
      <c r="F848" s="39"/>
      <c r="G848" s="39"/>
    </row>
    <row r="849">
      <c r="A849" s="39"/>
      <c r="B849" s="42"/>
      <c r="C849" s="39"/>
      <c r="D849" s="43"/>
      <c r="E849" s="39"/>
      <c r="F849" s="39"/>
      <c r="G849" s="39"/>
    </row>
    <row r="850">
      <c r="A850" s="39"/>
      <c r="B850" s="42"/>
      <c r="C850" s="39"/>
      <c r="D850" s="43"/>
      <c r="E850" s="39"/>
      <c r="F850" s="39"/>
      <c r="G850" s="39"/>
    </row>
    <row r="851">
      <c r="A851" s="39"/>
      <c r="B851" s="42"/>
      <c r="C851" s="39"/>
      <c r="D851" s="43"/>
      <c r="E851" s="39"/>
      <c r="F851" s="39"/>
      <c r="G851" s="39"/>
    </row>
    <row r="852">
      <c r="A852" s="39"/>
      <c r="B852" s="42"/>
      <c r="C852" s="39"/>
      <c r="D852" s="43"/>
      <c r="E852" s="39"/>
      <c r="F852" s="39"/>
      <c r="G852" s="39"/>
    </row>
    <row r="853">
      <c r="A853" s="39"/>
      <c r="B853" s="42"/>
      <c r="C853" s="39"/>
      <c r="D853" s="43"/>
      <c r="E853" s="39"/>
      <c r="F853" s="39"/>
      <c r="G853" s="39"/>
    </row>
    <row r="854">
      <c r="A854" s="39"/>
      <c r="B854" s="42"/>
      <c r="C854" s="39"/>
      <c r="D854" s="43"/>
      <c r="E854" s="39"/>
      <c r="F854" s="39"/>
      <c r="G854" s="39"/>
    </row>
    <row r="855">
      <c r="A855" s="39"/>
      <c r="B855" s="42"/>
      <c r="C855" s="39"/>
      <c r="D855" s="43"/>
      <c r="E855" s="39"/>
      <c r="F855" s="39"/>
      <c r="G855" s="39"/>
    </row>
    <row r="856">
      <c r="A856" s="39"/>
      <c r="B856" s="42"/>
      <c r="C856" s="39"/>
      <c r="D856" s="43"/>
      <c r="E856" s="39"/>
      <c r="F856" s="39"/>
      <c r="G856" s="39"/>
    </row>
    <row r="857">
      <c r="A857" s="39"/>
      <c r="B857" s="42"/>
      <c r="C857" s="39"/>
      <c r="D857" s="43"/>
      <c r="E857" s="39"/>
      <c r="F857" s="39"/>
      <c r="G857" s="39"/>
    </row>
    <row r="858">
      <c r="A858" s="39"/>
      <c r="B858" s="42"/>
      <c r="C858" s="39"/>
      <c r="D858" s="43"/>
      <c r="E858" s="39"/>
      <c r="F858" s="39"/>
      <c r="G858" s="39"/>
    </row>
    <row r="859">
      <c r="A859" s="39"/>
      <c r="B859" s="42"/>
      <c r="C859" s="39"/>
      <c r="D859" s="43"/>
      <c r="E859" s="39"/>
      <c r="F859" s="39"/>
      <c r="G859" s="39"/>
    </row>
    <row r="860">
      <c r="A860" s="39"/>
      <c r="B860" s="42"/>
      <c r="C860" s="39"/>
      <c r="D860" s="43"/>
      <c r="E860" s="39"/>
      <c r="F860" s="39"/>
      <c r="G860" s="39"/>
    </row>
    <row r="861">
      <c r="A861" s="39"/>
      <c r="B861" s="42"/>
      <c r="C861" s="39"/>
      <c r="D861" s="43"/>
      <c r="E861" s="39"/>
      <c r="F861" s="39"/>
      <c r="G861" s="39"/>
    </row>
    <row r="862">
      <c r="A862" s="39"/>
      <c r="B862" s="42"/>
      <c r="C862" s="39"/>
      <c r="D862" s="43"/>
      <c r="E862" s="39"/>
      <c r="F862" s="39"/>
      <c r="G862" s="39"/>
    </row>
    <row r="863">
      <c r="A863" s="39"/>
      <c r="B863" s="42"/>
      <c r="C863" s="39"/>
      <c r="D863" s="43"/>
      <c r="E863" s="39"/>
      <c r="F863" s="39"/>
      <c r="G863" s="39"/>
    </row>
    <row r="864">
      <c r="A864" s="39"/>
      <c r="B864" s="42"/>
      <c r="C864" s="39"/>
      <c r="D864" s="43"/>
      <c r="E864" s="39"/>
      <c r="F864" s="39"/>
      <c r="G864" s="39"/>
    </row>
    <row r="865">
      <c r="A865" s="39"/>
      <c r="B865" s="42"/>
      <c r="C865" s="39"/>
      <c r="D865" s="43"/>
      <c r="E865" s="39"/>
      <c r="F865" s="39"/>
      <c r="G865" s="39"/>
    </row>
    <row r="866">
      <c r="A866" s="39"/>
      <c r="B866" s="42"/>
      <c r="C866" s="39"/>
      <c r="D866" s="43"/>
      <c r="E866" s="39"/>
      <c r="F866" s="39"/>
      <c r="G866" s="39"/>
    </row>
    <row r="867">
      <c r="A867" s="39"/>
      <c r="B867" s="42"/>
      <c r="C867" s="39"/>
      <c r="D867" s="43"/>
      <c r="E867" s="39"/>
      <c r="F867" s="39"/>
      <c r="G867" s="39"/>
    </row>
    <row r="868">
      <c r="A868" s="39"/>
      <c r="B868" s="42"/>
      <c r="C868" s="39"/>
      <c r="D868" s="43"/>
      <c r="E868" s="39"/>
      <c r="F868" s="39"/>
      <c r="G868" s="39"/>
    </row>
    <row r="869">
      <c r="A869" s="39"/>
      <c r="B869" s="42"/>
      <c r="C869" s="39"/>
      <c r="D869" s="43"/>
      <c r="E869" s="39"/>
      <c r="F869" s="39"/>
      <c r="G869" s="39"/>
    </row>
    <row r="870">
      <c r="A870" s="39"/>
      <c r="B870" s="42"/>
      <c r="C870" s="39"/>
      <c r="D870" s="43"/>
      <c r="E870" s="39"/>
      <c r="F870" s="39"/>
      <c r="G870" s="39"/>
    </row>
    <row r="871">
      <c r="A871" s="39"/>
      <c r="B871" s="42"/>
      <c r="C871" s="39"/>
      <c r="D871" s="43"/>
      <c r="E871" s="39"/>
      <c r="F871" s="39"/>
      <c r="G871" s="39"/>
    </row>
    <row r="872">
      <c r="A872" s="39"/>
      <c r="B872" s="42"/>
      <c r="C872" s="39"/>
      <c r="D872" s="43"/>
      <c r="E872" s="39"/>
      <c r="F872" s="39"/>
      <c r="G872" s="39"/>
    </row>
    <row r="873">
      <c r="A873" s="39"/>
      <c r="B873" s="42"/>
      <c r="C873" s="39"/>
      <c r="D873" s="43"/>
      <c r="E873" s="39"/>
      <c r="F873" s="39"/>
      <c r="G873" s="39"/>
    </row>
    <row r="874">
      <c r="A874" s="39"/>
      <c r="B874" s="42"/>
      <c r="C874" s="39"/>
      <c r="D874" s="43"/>
      <c r="E874" s="39"/>
      <c r="F874" s="39"/>
      <c r="G874" s="39"/>
    </row>
    <row r="875">
      <c r="A875" s="39"/>
      <c r="B875" s="42"/>
      <c r="C875" s="39"/>
      <c r="D875" s="43"/>
      <c r="E875" s="39"/>
      <c r="F875" s="39"/>
      <c r="G875" s="39"/>
    </row>
    <row r="876">
      <c r="A876" s="39"/>
      <c r="B876" s="42"/>
      <c r="C876" s="39"/>
      <c r="D876" s="43"/>
      <c r="E876" s="39"/>
      <c r="F876" s="39"/>
      <c r="G876" s="39"/>
    </row>
    <row r="877">
      <c r="A877" s="39"/>
      <c r="B877" s="42"/>
      <c r="C877" s="39"/>
      <c r="D877" s="43"/>
      <c r="E877" s="39"/>
      <c r="F877" s="39"/>
      <c r="G877" s="39"/>
    </row>
    <row r="878">
      <c r="A878" s="39"/>
      <c r="B878" s="42"/>
      <c r="C878" s="39"/>
      <c r="D878" s="43"/>
      <c r="E878" s="39"/>
      <c r="F878" s="39"/>
      <c r="G878" s="39"/>
    </row>
    <row r="879">
      <c r="A879" s="39"/>
      <c r="B879" s="42"/>
      <c r="C879" s="39"/>
      <c r="D879" s="43"/>
      <c r="E879" s="39"/>
      <c r="F879" s="39"/>
      <c r="G879" s="39"/>
    </row>
    <row r="880">
      <c r="A880" s="39"/>
      <c r="B880" s="42"/>
      <c r="C880" s="39"/>
      <c r="D880" s="43"/>
      <c r="E880" s="39"/>
      <c r="F880" s="39"/>
      <c r="G880" s="39"/>
    </row>
    <row r="881">
      <c r="A881" s="39"/>
      <c r="B881" s="42"/>
      <c r="C881" s="39"/>
      <c r="D881" s="43"/>
      <c r="E881" s="39"/>
      <c r="F881" s="39"/>
      <c r="G881" s="39"/>
    </row>
    <row r="882">
      <c r="A882" s="39"/>
      <c r="B882" s="42"/>
      <c r="C882" s="39"/>
      <c r="D882" s="43"/>
      <c r="E882" s="39"/>
      <c r="F882" s="39"/>
      <c r="G882" s="39"/>
    </row>
    <row r="883">
      <c r="A883" s="39"/>
      <c r="B883" s="42"/>
      <c r="C883" s="39"/>
      <c r="D883" s="43"/>
      <c r="E883" s="39"/>
      <c r="F883" s="39"/>
      <c r="G883" s="39"/>
    </row>
    <row r="884">
      <c r="A884" s="39"/>
      <c r="B884" s="42"/>
      <c r="C884" s="39"/>
      <c r="D884" s="43"/>
      <c r="E884" s="39"/>
      <c r="F884" s="39"/>
      <c r="G884" s="39"/>
    </row>
    <row r="885">
      <c r="A885" s="39"/>
      <c r="B885" s="42"/>
      <c r="C885" s="39"/>
      <c r="D885" s="43"/>
      <c r="E885" s="39"/>
      <c r="F885" s="39"/>
      <c r="G885" s="39"/>
    </row>
    <row r="886">
      <c r="A886" s="39"/>
      <c r="B886" s="42"/>
      <c r="C886" s="39"/>
      <c r="D886" s="43"/>
      <c r="E886" s="39"/>
      <c r="F886" s="39"/>
      <c r="G886" s="39"/>
    </row>
    <row r="887">
      <c r="A887" s="39"/>
      <c r="B887" s="42"/>
      <c r="C887" s="39"/>
      <c r="D887" s="43"/>
      <c r="E887" s="39"/>
      <c r="F887" s="39"/>
      <c r="G887" s="39"/>
    </row>
    <row r="888">
      <c r="A888" s="39"/>
      <c r="B888" s="42"/>
      <c r="C888" s="39"/>
      <c r="D888" s="43"/>
      <c r="E888" s="39"/>
      <c r="F888" s="39"/>
      <c r="G888" s="39"/>
    </row>
    <row r="889">
      <c r="A889" s="39"/>
      <c r="B889" s="42"/>
      <c r="C889" s="39"/>
      <c r="D889" s="43"/>
      <c r="E889" s="39"/>
      <c r="F889" s="39"/>
      <c r="G889" s="39"/>
    </row>
    <row r="890">
      <c r="A890" s="39"/>
      <c r="B890" s="42"/>
      <c r="C890" s="39"/>
      <c r="D890" s="43"/>
      <c r="E890" s="39"/>
      <c r="F890" s="39"/>
      <c r="G890" s="39"/>
    </row>
    <row r="891">
      <c r="A891" s="39"/>
      <c r="B891" s="42"/>
      <c r="C891" s="39"/>
      <c r="D891" s="43"/>
      <c r="E891" s="39"/>
      <c r="F891" s="39"/>
      <c r="G891" s="39"/>
    </row>
    <row r="892">
      <c r="A892" s="39"/>
      <c r="B892" s="42"/>
      <c r="C892" s="39"/>
      <c r="D892" s="43"/>
      <c r="E892" s="39"/>
      <c r="F892" s="39"/>
      <c r="G892" s="39"/>
    </row>
    <row r="893">
      <c r="A893" s="39"/>
      <c r="B893" s="42"/>
      <c r="C893" s="39"/>
      <c r="D893" s="43"/>
      <c r="E893" s="39"/>
      <c r="F893" s="39"/>
      <c r="G893" s="39"/>
    </row>
    <row r="894">
      <c r="A894" s="39"/>
      <c r="B894" s="42"/>
      <c r="C894" s="39"/>
      <c r="D894" s="43"/>
      <c r="E894" s="39"/>
      <c r="F894" s="39"/>
      <c r="G894" s="39"/>
    </row>
    <row r="895">
      <c r="A895" s="39"/>
      <c r="B895" s="42"/>
      <c r="C895" s="39"/>
      <c r="D895" s="43"/>
      <c r="E895" s="39"/>
      <c r="F895" s="39"/>
      <c r="G895" s="39"/>
    </row>
    <row r="896">
      <c r="A896" s="39"/>
      <c r="B896" s="42"/>
      <c r="C896" s="39"/>
      <c r="D896" s="43"/>
      <c r="E896" s="39"/>
      <c r="F896" s="39"/>
      <c r="G896" s="39"/>
    </row>
    <row r="897">
      <c r="A897" s="39"/>
      <c r="B897" s="42"/>
      <c r="C897" s="39"/>
      <c r="D897" s="43"/>
      <c r="E897" s="39"/>
      <c r="F897" s="39"/>
      <c r="G897" s="39"/>
    </row>
    <row r="898">
      <c r="A898" s="39"/>
      <c r="B898" s="42"/>
      <c r="C898" s="39"/>
      <c r="D898" s="43"/>
      <c r="E898" s="39"/>
      <c r="F898" s="39"/>
      <c r="G898" s="39"/>
    </row>
    <row r="899">
      <c r="A899" s="39"/>
      <c r="B899" s="42"/>
      <c r="C899" s="39"/>
      <c r="D899" s="43"/>
      <c r="E899" s="39"/>
      <c r="F899" s="39"/>
      <c r="G899" s="39"/>
    </row>
    <row r="900">
      <c r="A900" s="39"/>
      <c r="B900" s="42"/>
      <c r="C900" s="39"/>
      <c r="D900" s="43"/>
      <c r="E900" s="39"/>
      <c r="F900" s="39"/>
      <c r="G900" s="39"/>
    </row>
    <row r="901">
      <c r="A901" s="39"/>
      <c r="B901" s="42"/>
      <c r="C901" s="39"/>
      <c r="D901" s="43"/>
      <c r="E901" s="39"/>
      <c r="F901" s="39"/>
      <c r="G901" s="39"/>
    </row>
    <row r="902">
      <c r="A902" s="39"/>
      <c r="B902" s="42"/>
      <c r="C902" s="39"/>
      <c r="D902" s="43"/>
      <c r="E902" s="39"/>
      <c r="F902" s="39"/>
      <c r="G902" s="39"/>
    </row>
    <row r="903">
      <c r="A903" s="39"/>
      <c r="B903" s="42"/>
      <c r="C903" s="39"/>
      <c r="D903" s="43"/>
      <c r="E903" s="39"/>
      <c r="F903" s="39"/>
      <c r="G903" s="39"/>
    </row>
    <row r="904">
      <c r="A904" s="39"/>
      <c r="B904" s="42"/>
      <c r="C904" s="39"/>
      <c r="D904" s="43"/>
      <c r="E904" s="39"/>
      <c r="F904" s="39"/>
      <c r="G904" s="39"/>
    </row>
    <row r="905">
      <c r="A905" s="39"/>
      <c r="B905" s="42"/>
      <c r="C905" s="39"/>
      <c r="D905" s="43"/>
      <c r="E905" s="39"/>
      <c r="F905" s="39"/>
      <c r="G905" s="39"/>
    </row>
    <row r="906">
      <c r="A906" s="39"/>
      <c r="B906" s="42"/>
      <c r="C906" s="39"/>
      <c r="D906" s="43"/>
      <c r="E906" s="39"/>
      <c r="F906" s="39"/>
      <c r="G906" s="39"/>
    </row>
    <row r="907">
      <c r="A907" s="39"/>
      <c r="B907" s="42"/>
      <c r="C907" s="39"/>
      <c r="D907" s="43"/>
      <c r="E907" s="39"/>
      <c r="F907" s="39"/>
      <c r="G907" s="39"/>
    </row>
    <row r="908">
      <c r="A908" s="39"/>
      <c r="B908" s="42"/>
      <c r="C908" s="39"/>
      <c r="D908" s="43"/>
      <c r="E908" s="39"/>
      <c r="F908" s="39"/>
      <c r="G908" s="39"/>
    </row>
    <row r="909">
      <c r="A909" s="39"/>
      <c r="B909" s="42"/>
      <c r="C909" s="39"/>
      <c r="D909" s="43"/>
      <c r="E909" s="39"/>
      <c r="F909" s="39"/>
      <c r="G909" s="39"/>
    </row>
    <row r="910">
      <c r="A910" s="39"/>
      <c r="B910" s="42"/>
      <c r="C910" s="39"/>
      <c r="D910" s="43"/>
      <c r="E910" s="39"/>
      <c r="F910" s="39"/>
      <c r="G910" s="39"/>
    </row>
    <row r="911">
      <c r="A911" s="39"/>
      <c r="B911" s="42"/>
      <c r="C911" s="39"/>
      <c r="D911" s="43"/>
      <c r="E911" s="39"/>
      <c r="F911" s="39"/>
      <c r="G911" s="39"/>
    </row>
    <row r="912">
      <c r="A912" s="39"/>
      <c r="B912" s="42"/>
      <c r="C912" s="39"/>
      <c r="D912" s="43"/>
      <c r="E912" s="39"/>
      <c r="F912" s="39"/>
      <c r="G912" s="39"/>
    </row>
    <row r="913">
      <c r="A913" s="39"/>
      <c r="B913" s="42"/>
      <c r="C913" s="39"/>
      <c r="D913" s="43"/>
      <c r="E913" s="39"/>
      <c r="F913" s="39"/>
      <c r="G913" s="39"/>
    </row>
    <row r="914">
      <c r="A914" s="39"/>
      <c r="B914" s="42"/>
      <c r="C914" s="39"/>
      <c r="D914" s="43"/>
      <c r="E914" s="39"/>
      <c r="F914" s="39"/>
      <c r="G914" s="39"/>
    </row>
    <row r="915">
      <c r="A915" s="39"/>
      <c r="B915" s="42"/>
      <c r="C915" s="39"/>
      <c r="D915" s="43"/>
      <c r="E915" s="39"/>
      <c r="F915" s="39"/>
      <c r="G915" s="39"/>
    </row>
    <row r="916">
      <c r="A916" s="39"/>
      <c r="B916" s="42"/>
      <c r="C916" s="39"/>
      <c r="D916" s="43"/>
      <c r="E916" s="39"/>
      <c r="F916" s="39"/>
      <c r="G916" s="39"/>
    </row>
    <row r="917">
      <c r="A917" s="39"/>
      <c r="B917" s="42"/>
      <c r="C917" s="39"/>
      <c r="D917" s="43"/>
      <c r="E917" s="39"/>
      <c r="F917" s="39"/>
      <c r="G917" s="39"/>
    </row>
    <row r="918">
      <c r="A918" s="39"/>
      <c r="B918" s="42"/>
      <c r="C918" s="39"/>
      <c r="D918" s="43"/>
      <c r="E918" s="39"/>
      <c r="F918" s="39"/>
      <c r="G918" s="39"/>
    </row>
    <row r="919">
      <c r="A919" s="39"/>
      <c r="B919" s="42"/>
      <c r="C919" s="39"/>
      <c r="D919" s="43"/>
      <c r="E919" s="39"/>
      <c r="F919" s="39"/>
      <c r="G919" s="39"/>
    </row>
    <row r="920">
      <c r="A920" s="39"/>
      <c r="B920" s="42"/>
      <c r="C920" s="39"/>
      <c r="D920" s="43"/>
      <c r="E920" s="39"/>
      <c r="F920" s="39"/>
      <c r="G920" s="39"/>
    </row>
    <row r="921">
      <c r="A921" s="39"/>
      <c r="B921" s="42"/>
      <c r="C921" s="39"/>
      <c r="D921" s="43"/>
      <c r="E921" s="39"/>
      <c r="F921" s="39"/>
      <c r="G921" s="39"/>
    </row>
    <row r="922">
      <c r="A922" s="39"/>
      <c r="B922" s="42"/>
      <c r="C922" s="39"/>
      <c r="D922" s="43"/>
      <c r="E922" s="39"/>
      <c r="F922" s="39"/>
      <c r="G922" s="39"/>
    </row>
    <row r="923">
      <c r="A923" s="39"/>
      <c r="B923" s="42"/>
      <c r="C923" s="39"/>
      <c r="D923" s="43"/>
      <c r="E923" s="39"/>
      <c r="F923" s="39"/>
      <c r="G923" s="39"/>
    </row>
    <row r="924">
      <c r="A924" s="39"/>
      <c r="B924" s="42"/>
      <c r="C924" s="39"/>
      <c r="D924" s="43"/>
      <c r="E924" s="39"/>
      <c r="F924" s="39"/>
      <c r="G924" s="39"/>
    </row>
    <row r="925">
      <c r="A925" s="39"/>
      <c r="B925" s="42"/>
      <c r="C925" s="39"/>
      <c r="D925" s="43"/>
      <c r="E925" s="39"/>
      <c r="F925" s="39"/>
      <c r="G925" s="39"/>
    </row>
    <row r="926">
      <c r="A926" s="39"/>
      <c r="B926" s="42"/>
      <c r="C926" s="39"/>
      <c r="D926" s="43"/>
      <c r="E926" s="39"/>
      <c r="F926" s="39"/>
      <c r="G926" s="39"/>
    </row>
    <row r="927">
      <c r="A927" s="39"/>
      <c r="B927" s="42"/>
      <c r="C927" s="39"/>
      <c r="D927" s="43"/>
      <c r="E927" s="39"/>
      <c r="F927" s="39"/>
      <c r="G927" s="39"/>
    </row>
    <row r="928">
      <c r="A928" s="39"/>
      <c r="B928" s="42"/>
      <c r="C928" s="39"/>
      <c r="D928" s="43"/>
      <c r="E928" s="39"/>
      <c r="F928" s="39"/>
      <c r="G928" s="39"/>
    </row>
    <row r="929">
      <c r="A929" s="39"/>
      <c r="B929" s="42"/>
      <c r="C929" s="39"/>
      <c r="D929" s="43"/>
      <c r="E929" s="39"/>
      <c r="F929" s="39"/>
      <c r="G929" s="39"/>
    </row>
    <row r="930">
      <c r="A930" s="39"/>
      <c r="B930" s="42"/>
      <c r="C930" s="39"/>
      <c r="D930" s="43"/>
      <c r="E930" s="39"/>
      <c r="F930" s="39"/>
      <c r="G930" s="39"/>
    </row>
    <row r="931">
      <c r="A931" s="39"/>
      <c r="B931" s="42"/>
      <c r="C931" s="39"/>
      <c r="D931" s="43"/>
      <c r="E931" s="39"/>
      <c r="F931" s="39"/>
      <c r="G931" s="39"/>
    </row>
    <row r="932">
      <c r="A932" s="39"/>
      <c r="B932" s="42"/>
      <c r="C932" s="39"/>
      <c r="D932" s="43"/>
      <c r="E932" s="39"/>
      <c r="F932" s="39"/>
      <c r="G932" s="39"/>
    </row>
    <row r="933">
      <c r="A933" s="39"/>
      <c r="B933" s="42"/>
      <c r="C933" s="39"/>
      <c r="D933" s="43"/>
      <c r="E933" s="39"/>
      <c r="F933" s="39"/>
      <c r="G933" s="39"/>
    </row>
    <row r="934">
      <c r="A934" s="39"/>
      <c r="B934" s="42"/>
      <c r="C934" s="39"/>
      <c r="D934" s="43"/>
      <c r="E934" s="39"/>
      <c r="F934" s="39"/>
      <c r="G934" s="39"/>
    </row>
    <row r="935">
      <c r="A935" s="39"/>
      <c r="B935" s="42"/>
      <c r="C935" s="39"/>
      <c r="D935" s="43"/>
      <c r="E935" s="39"/>
      <c r="F935" s="39"/>
      <c r="G935" s="39"/>
    </row>
    <row r="936">
      <c r="A936" s="39"/>
      <c r="B936" s="42"/>
      <c r="C936" s="39"/>
      <c r="D936" s="43"/>
      <c r="E936" s="39"/>
      <c r="F936" s="39"/>
      <c r="G936" s="39"/>
    </row>
    <row r="937">
      <c r="A937" s="39"/>
      <c r="B937" s="42"/>
      <c r="C937" s="39"/>
      <c r="D937" s="43"/>
      <c r="E937" s="39"/>
      <c r="F937" s="39"/>
      <c r="G937" s="39"/>
    </row>
    <row r="938">
      <c r="A938" s="39"/>
      <c r="B938" s="42"/>
      <c r="C938" s="39"/>
      <c r="D938" s="43"/>
      <c r="E938" s="39"/>
      <c r="F938" s="39"/>
      <c r="G938" s="39"/>
    </row>
    <row r="939">
      <c r="A939" s="39"/>
      <c r="B939" s="42"/>
      <c r="C939" s="39"/>
      <c r="D939" s="43"/>
      <c r="E939" s="39"/>
      <c r="F939" s="39"/>
      <c r="G939" s="39"/>
    </row>
    <row r="940">
      <c r="A940" s="39"/>
      <c r="B940" s="42"/>
      <c r="C940" s="39"/>
      <c r="D940" s="43"/>
      <c r="E940" s="39"/>
      <c r="F940" s="39"/>
      <c r="G940" s="39"/>
    </row>
    <row r="941">
      <c r="A941" s="39"/>
      <c r="B941" s="42"/>
      <c r="C941" s="39"/>
      <c r="D941" s="43"/>
      <c r="E941" s="39"/>
      <c r="F941" s="39"/>
      <c r="G941" s="39"/>
    </row>
    <row r="942">
      <c r="A942" s="39"/>
      <c r="B942" s="42"/>
      <c r="C942" s="39"/>
      <c r="D942" s="43"/>
      <c r="E942" s="39"/>
      <c r="F942" s="39"/>
      <c r="G942" s="39"/>
    </row>
    <row r="943">
      <c r="A943" s="39"/>
      <c r="B943" s="42"/>
      <c r="C943" s="39"/>
      <c r="D943" s="43"/>
      <c r="E943" s="39"/>
      <c r="F943" s="39"/>
      <c r="G943" s="39"/>
    </row>
    <row r="944">
      <c r="A944" s="39"/>
      <c r="B944" s="42"/>
      <c r="C944" s="39"/>
      <c r="D944" s="43"/>
      <c r="E944" s="39"/>
      <c r="F944" s="39"/>
      <c r="G944" s="39"/>
    </row>
    <row r="945">
      <c r="A945" s="39"/>
      <c r="B945" s="42"/>
      <c r="C945" s="39"/>
      <c r="D945" s="43"/>
      <c r="E945" s="39"/>
      <c r="F945" s="39"/>
      <c r="G945" s="39"/>
    </row>
    <row r="946">
      <c r="A946" s="39"/>
      <c r="B946" s="42"/>
      <c r="C946" s="39"/>
      <c r="D946" s="43"/>
      <c r="E946" s="39"/>
      <c r="F946" s="39"/>
      <c r="G946" s="39"/>
    </row>
    <row r="947">
      <c r="A947" s="39"/>
      <c r="B947" s="42"/>
      <c r="C947" s="39"/>
      <c r="D947" s="43"/>
      <c r="E947" s="39"/>
      <c r="F947" s="39"/>
      <c r="G947" s="39"/>
    </row>
    <row r="948">
      <c r="A948" s="39"/>
      <c r="B948" s="42"/>
      <c r="C948" s="39"/>
      <c r="D948" s="43"/>
      <c r="E948" s="39"/>
      <c r="F948" s="39"/>
      <c r="G948" s="39"/>
    </row>
    <row r="949">
      <c r="A949" s="39"/>
      <c r="B949" s="42"/>
      <c r="C949" s="39"/>
      <c r="D949" s="43"/>
      <c r="E949" s="39"/>
      <c r="F949" s="39"/>
      <c r="G949" s="39"/>
    </row>
    <row r="950">
      <c r="A950" s="39"/>
      <c r="B950" s="42"/>
      <c r="C950" s="39"/>
      <c r="D950" s="43"/>
      <c r="E950" s="39"/>
      <c r="F950" s="39"/>
      <c r="G950" s="39"/>
    </row>
    <row r="951">
      <c r="A951" s="39"/>
      <c r="B951" s="42"/>
      <c r="C951" s="39"/>
      <c r="D951" s="43"/>
      <c r="E951" s="39"/>
      <c r="F951" s="39"/>
      <c r="G951" s="39"/>
    </row>
    <row r="952">
      <c r="A952" s="39"/>
      <c r="B952" s="42"/>
      <c r="C952" s="39"/>
      <c r="D952" s="43"/>
      <c r="E952" s="39"/>
      <c r="F952" s="39"/>
      <c r="G952" s="39"/>
    </row>
    <row r="953">
      <c r="A953" s="39"/>
      <c r="B953" s="42"/>
      <c r="C953" s="39"/>
      <c r="D953" s="43"/>
      <c r="E953" s="39"/>
      <c r="F953" s="39"/>
      <c r="G953" s="39"/>
    </row>
    <row r="954">
      <c r="A954" s="39"/>
      <c r="B954" s="42"/>
      <c r="C954" s="39"/>
      <c r="D954" s="43"/>
      <c r="E954" s="39"/>
      <c r="F954" s="39"/>
      <c r="G954" s="39"/>
    </row>
    <row r="955">
      <c r="A955" s="39"/>
      <c r="B955" s="42"/>
      <c r="C955" s="39"/>
      <c r="D955" s="43"/>
      <c r="E955" s="39"/>
      <c r="F955" s="39"/>
      <c r="G955" s="39"/>
    </row>
    <row r="956">
      <c r="A956" s="39"/>
      <c r="B956" s="42"/>
      <c r="C956" s="39"/>
      <c r="D956" s="43"/>
      <c r="E956" s="39"/>
      <c r="F956" s="39"/>
      <c r="G956" s="39"/>
    </row>
    <row r="957">
      <c r="A957" s="39"/>
      <c r="B957" s="42"/>
      <c r="C957" s="39"/>
      <c r="D957" s="43"/>
      <c r="E957" s="39"/>
      <c r="F957" s="39"/>
      <c r="G957" s="39"/>
    </row>
    <row r="958">
      <c r="A958" s="39"/>
      <c r="B958" s="42"/>
      <c r="C958" s="39"/>
      <c r="D958" s="43"/>
      <c r="E958" s="39"/>
      <c r="F958" s="39"/>
      <c r="G958" s="39"/>
    </row>
    <row r="959">
      <c r="A959" s="39"/>
      <c r="B959" s="42"/>
      <c r="C959" s="39"/>
      <c r="D959" s="43"/>
      <c r="E959" s="39"/>
      <c r="F959" s="39"/>
      <c r="G959" s="39"/>
    </row>
    <row r="960">
      <c r="A960" s="39"/>
      <c r="B960" s="42"/>
      <c r="C960" s="39"/>
      <c r="D960" s="43"/>
      <c r="E960" s="39"/>
      <c r="F960" s="39"/>
      <c r="G960" s="39"/>
    </row>
    <row r="961">
      <c r="A961" s="39"/>
      <c r="B961" s="42"/>
      <c r="C961" s="39"/>
      <c r="D961" s="43"/>
      <c r="E961" s="39"/>
      <c r="F961" s="39"/>
      <c r="G961" s="39"/>
    </row>
    <row r="962">
      <c r="A962" s="39"/>
      <c r="B962" s="42"/>
      <c r="C962" s="39"/>
      <c r="D962" s="43"/>
      <c r="E962" s="39"/>
      <c r="F962" s="39"/>
      <c r="G962" s="39"/>
    </row>
    <row r="963">
      <c r="A963" s="39"/>
      <c r="B963" s="42"/>
      <c r="C963" s="39"/>
      <c r="D963" s="43"/>
      <c r="E963" s="39"/>
      <c r="F963" s="39"/>
      <c r="G963" s="39"/>
    </row>
    <row r="964">
      <c r="A964" s="39"/>
      <c r="B964" s="42"/>
      <c r="C964" s="39"/>
      <c r="D964" s="43"/>
      <c r="E964" s="39"/>
      <c r="F964" s="39"/>
      <c r="G964" s="39"/>
    </row>
    <row r="965">
      <c r="A965" s="39"/>
      <c r="B965" s="42"/>
      <c r="C965" s="39"/>
      <c r="D965" s="43"/>
      <c r="E965" s="39"/>
      <c r="F965" s="39"/>
      <c r="G965" s="39"/>
    </row>
    <row r="966">
      <c r="A966" s="39"/>
      <c r="B966" s="42"/>
      <c r="C966" s="39"/>
      <c r="D966" s="43"/>
      <c r="E966" s="39"/>
      <c r="F966" s="39"/>
      <c r="G966" s="39"/>
    </row>
    <row r="967">
      <c r="A967" s="39"/>
      <c r="B967" s="42"/>
      <c r="C967" s="39"/>
      <c r="D967" s="43"/>
      <c r="E967" s="39"/>
      <c r="F967" s="39"/>
      <c r="G967" s="39"/>
    </row>
    <row r="968">
      <c r="A968" s="39"/>
      <c r="B968" s="42"/>
      <c r="C968" s="39"/>
      <c r="D968" s="43"/>
      <c r="E968" s="39"/>
      <c r="F968" s="39"/>
      <c r="G968" s="39"/>
    </row>
    <row r="969">
      <c r="A969" s="39"/>
      <c r="B969" s="42"/>
      <c r="C969" s="39"/>
      <c r="D969" s="43"/>
      <c r="E969" s="39"/>
      <c r="F969" s="39"/>
      <c r="G969" s="39"/>
    </row>
    <row r="970">
      <c r="A970" s="39"/>
      <c r="B970" s="42"/>
      <c r="C970" s="39"/>
      <c r="D970" s="43"/>
      <c r="E970" s="39"/>
      <c r="F970" s="39"/>
      <c r="G970" s="39"/>
    </row>
    <row r="971">
      <c r="A971" s="39"/>
      <c r="B971" s="42"/>
      <c r="C971" s="39"/>
      <c r="D971" s="43"/>
      <c r="E971" s="39"/>
      <c r="F971" s="39"/>
      <c r="G971" s="39"/>
    </row>
    <row r="972">
      <c r="A972" s="39"/>
      <c r="B972" s="42"/>
      <c r="C972" s="39"/>
      <c r="D972" s="43"/>
      <c r="E972" s="39"/>
      <c r="F972" s="39"/>
      <c r="G972" s="39"/>
    </row>
    <row r="973">
      <c r="A973" s="39"/>
      <c r="B973" s="42"/>
      <c r="C973" s="39"/>
      <c r="D973" s="43"/>
      <c r="E973" s="39"/>
      <c r="F973" s="39"/>
      <c r="G973" s="39"/>
    </row>
    <row r="974">
      <c r="A974" s="39"/>
      <c r="B974" s="42"/>
      <c r="C974" s="39"/>
      <c r="D974" s="43"/>
      <c r="E974" s="39"/>
      <c r="F974" s="39"/>
      <c r="G974" s="39"/>
    </row>
    <row r="975">
      <c r="A975" s="39"/>
      <c r="B975" s="42"/>
      <c r="C975" s="39"/>
      <c r="D975" s="43"/>
      <c r="E975" s="39"/>
      <c r="F975" s="39"/>
      <c r="G975" s="39"/>
    </row>
    <row r="976">
      <c r="A976" s="39"/>
      <c r="B976" s="42"/>
      <c r="C976" s="39"/>
      <c r="D976" s="43"/>
      <c r="E976" s="39"/>
      <c r="F976" s="39"/>
      <c r="G976" s="39"/>
    </row>
    <row r="977">
      <c r="A977" s="39"/>
      <c r="B977" s="42"/>
      <c r="C977" s="39"/>
      <c r="D977" s="43"/>
      <c r="E977" s="39"/>
      <c r="F977" s="39"/>
      <c r="G977" s="39"/>
    </row>
    <row r="978">
      <c r="A978" s="39"/>
      <c r="B978" s="42"/>
      <c r="C978" s="39"/>
      <c r="D978" s="43"/>
      <c r="E978" s="39"/>
      <c r="F978" s="39"/>
      <c r="G978" s="39"/>
    </row>
    <row r="979">
      <c r="A979" s="39"/>
      <c r="B979" s="42"/>
      <c r="C979" s="39"/>
      <c r="D979" s="43"/>
      <c r="E979" s="39"/>
      <c r="F979" s="39"/>
      <c r="G979" s="39"/>
    </row>
    <row r="980">
      <c r="A980" s="39"/>
      <c r="B980" s="42"/>
      <c r="C980" s="39"/>
      <c r="D980" s="43"/>
      <c r="E980" s="39"/>
      <c r="F980" s="39"/>
      <c r="G980" s="39"/>
    </row>
    <row r="981">
      <c r="A981" s="39"/>
      <c r="B981" s="42"/>
      <c r="C981" s="39"/>
      <c r="D981" s="43"/>
      <c r="E981" s="39"/>
      <c r="F981" s="39"/>
      <c r="G981" s="39"/>
    </row>
    <row r="982">
      <c r="A982" s="39"/>
      <c r="B982" s="42"/>
      <c r="C982" s="39"/>
      <c r="D982" s="43"/>
      <c r="E982" s="39"/>
      <c r="F982" s="39"/>
      <c r="G982" s="39"/>
    </row>
    <row r="983">
      <c r="A983" s="39"/>
      <c r="B983" s="42"/>
      <c r="C983" s="39"/>
      <c r="D983" s="43"/>
      <c r="E983" s="39"/>
      <c r="F983" s="39"/>
      <c r="G983" s="39"/>
    </row>
    <row r="984">
      <c r="A984" s="39"/>
      <c r="B984" s="42"/>
      <c r="C984" s="39"/>
      <c r="D984" s="43"/>
      <c r="E984" s="39"/>
      <c r="F984" s="39"/>
      <c r="G984" s="39"/>
    </row>
    <row r="985">
      <c r="A985" s="39"/>
      <c r="B985" s="42"/>
      <c r="C985" s="39"/>
      <c r="D985" s="43"/>
      <c r="E985" s="39"/>
      <c r="F985" s="39"/>
      <c r="G985" s="39"/>
    </row>
    <row r="986">
      <c r="A986" s="39"/>
      <c r="B986" s="42"/>
      <c r="C986" s="39"/>
      <c r="D986" s="43"/>
      <c r="E986" s="39"/>
      <c r="F986" s="39"/>
      <c r="G986" s="39"/>
    </row>
    <row r="987">
      <c r="A987" s="39"/>
      <c r="B987" s="42"/>
      <c r="C987" s="39"/>
      <c r="D987" s="43"/>
      <c r="E987" s="39"/>
      <c r="F987" s="39"/>
      <c r="G987" s="39"/>
    </row>
    <row r="988">
      <c r="A988" s="39"/>
      <c r="B988" s="42"/>
      <c r="C988" s="39"/>
      <c r="D988" s="43"/>
      <c r="E988" s="39"/>
      <c r="F988" s="39"/>
      <c r="G988" s="39"/>
    </row>
    <row r="989">
      <c r="A989" s="39"/>
      <c r="B989" s="42"/>
      <c r="C989" s="39"/>
      <c r="D989" s="43"/>
      <c r="E989" s="39"/>
      <c r="F989" s="39"/>
      <c r="G989" s="39"/>
    </row>
    <row r="990">
      <c r="A990" s="39"/>
      <c r="B990" s="42"/>
      <c r="C990" s="39"/>
      <c r="D990" s="43"/>
      <c r="E990" s="39"/>
      <c r="F990" s="39"/>
      <c r="G990" s="39"/>
    </row>
    <row r="991">
      <c r="A991" s="39"/>
      <c r="B991" s="42"/>
      <c r="C991" s="39"/>
      <c r="D991" s="43"/>
      <c r="E991" s="39"/>
      <c r="F991" s="39"/>
      <c r="G991" s="39"/>
    </row>
    <row r="992">
      <c r="A992" s="39"/>
      <c r="B992" s="42"/>
      <c r="C992" s="39"/>
      <c r="D992" s="43"/>
      <c r="E992" s="39"/>
      <c r="F992" s="39"/>
      <c r="G992" s="39"/>
    </row>
    <row r="993">
      <c r="A993" s="39"/>
      <c r="B993" s="42"/>
      <c r="C993" s="39"/>
      <c r="D993" s="43"/>
      <c r="E993" s="39"/>
      <c r="F993" s="39"/>
      <c r="G993" s="39"/>
    </row>
    <row r="994">
      <c r="A994" s="39"/>
      <c r="B994" s="42"/>
      <c r="C994" s="39"/>
      <c r="D994" s="43"/>
      <c r="E994" s="39"/>
      <c r="F994" s="39"/>
      <c r="G994" s="39"/>
    </row>
    <row r="995">
      <c r="A995" s="39"/>
      <c r="B995" s="42"/>
      <c r="C995" s="39"/>
      <c r="D995" s="43"/>
      <c r="E995" s="39"/>
      <c r="F995" s="39"/>
      <c r="G995" s="39"/>
    </row>
    <row r="996">
      <c r="A996" s="39"/>
      <c r="B996" s="42"/>
      <c r="C996" s="39"/>
      <c r="D996" s="43"/>
      <c r="E996" s="39"/>
      <c r="F996" s="39"/>
      <c r="G996" s="39"/>
    </row>
    <row r="997">
      <c r="A997" s="39"/>
      <c r="B997" s="42"/>
      <c r="C997" s="39"/>
      <c r="D997" s="43"/>
      <c r="E997" s="39"/>
      <c r="F997" s="39"/>
      <c r="G997" s="39"/>
    </row>
    <row r="998">
      <c r="A998" s="39"/>
      <c r="B998" s="42"/>
      <c r="C998" s="39"/>
      <c r="D998" s="43"/>
      <c r="E998" s="39"/>
      <c r="F998" s="39"/>
      <c r="G998" s="39"/>
    </row>
    <row r="999">
      <c r="A999" s="39"/>
      <c r="B999" s="42"/>
      <c r="C999" s="39"/>
      <c r="D999" s="43"/>
      <c r="E999" s="39"/>
      <c r="F999" s="39"/>
      <c r="G999" s="39"/>
    </row>
  </sheetData>
  <autoFilter ref="$A$1:$Z$42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8.38"/>
    <col customWidth="1" min="4" max="4" width="36.63"/>
  </cols>
  <sheetData>
    <row r="2">
      <c r="B2" s="44" t="s">
        <v>915</v>
      </c>
      <c r="C2" s="45"/>
      <c r="D2" s="46"/>
      <c r="E2" s="47"/>
    </row>
    <row r="3">
      <c r="B3" s="48" t="s">
        <v>916</v>
      </c>
      <c r="C3" s="49" t="s">
        <v>917</v>
      </c>
      <c r="D3" s="50" t="s">
        <v>918</v>
      </c>
    </row>
    <row r="4">
      <c r="B4" s="51" t="s">
        <v>506</v>
      </c>
      <c r="C4" s="52" t="s">
        <v>370</v>
      </c>
      <c r="D4" s="53" t="str">
        <f>IFERROR(__xludf.DUMMYFUNCTION("FILTER(B4:B1001, NOT(COUNTIF(C4:C1001, B4:B1001)))"),"rdddpa2022")</f>
        <v>rdddpa2022</v>
      </c>
    </row>
    <row r="5">
      <c r="B5" s="54" t="s">
        <v>506</v>
      </c>
      <c r="C5" s="52" t="s">
        <v>370</v>
      </c>
      <c r="D5" s="53" t="str">
        <f>IFERROR(__xludf.DUMMYFUNCTION("""COMPUTED_VALUE"""),"rdddpa2022")</f>
        <v>rdddpa2022</v>
      </c>
    </row>
    <row r="6">
      <c r="B6" s="54" t="s">
        <v>506</v>
      </c>
      <c r="C6" s="52" t="s">
        <v>377</v>
      </c>
      <c r="D6" s="53" t="str">
        <f>IFERROR(__xludf.DUMMYFUNCTION("""COMPUTED_VALUE"""),"rdddpa2022")</f>
        <v>rdddpa2022</v>
      </c>
    </row>
    <row r="7">
      <c r="B7" s="54" t="s">
        <v>506</v>
      </c>
      <c r="C7" s="52" t="s">
        <v>377</v>
      </c>
      <c r="D7" s="53" t="str">
        <f>IFERROR(__xludf.DUMMYFUNCTION("""COMPUTED_VALUE"""),"rdddpa2022")</f>
        <v>rdddpa2022</v>
      </c>
    </row>
    <row r="8">
      <c r="B8" s="54" t="s">
        <v>506</v>
      </c>
      <c r="C8" s="52" t="s">
        <v>377</v>
      </c>
      <c r="D8" s="53" t="str">
        <f>IFERROR(__xludf.DUMMYFUNCTION("""COMPUTED_VALUE"""),"rdddpa2022")</f>
        <v>rdddpa2022</v>
      </c>
    </row>
    <row r="9">
      <c r="B9" s="54" t="s">
        <v>506</v>
      </c>
      <c r="C9" s="52" t="s">
        <v>386</v>
      </c>
      <c r="D9" s="53" t="str">
        <f>IFERROR(__xludf.DUMMYFUNCTION("""COMPUTED_VALUE"""),"rdddpa2022")</f>
        <v>rdddpa2022</v>
      </c>
    </row>
    <row r="10">
      <c r="B10" s="51" t="s">
        <v>402</v>
      </c>
      <c r="C10" s="52" t="s">
        <v>391</v>
      </c>
      <c r="D10" s="53" t="str">
        <f>IFERROR(__xludf.DUMMYFUNCTION("""COMPUTED_VALUE"""),"odspnf2019")</f>
        <v>odspnf2019</v>
      </c>
    </row>
    <row r="11">
      <c r="B11" s="54" t="s">
        <v>402</v>
      </c>
      <c r="C11" s="52" t="s">
        <v>391</v>
      </c>
      <c r="D11" s="53" t="str">
        <f>IFERROR(__xludf.DUMMYFUNCTION("""COMPUTED_VALUE"""),"odspnf2019")</f>
        <v>odspnf2019</v>
      </c>
    </row>
    <row r="12">
      <c r="B12" s="54" t="s">
        <v>402</v>
      </c>
      <c r="C12" s="52" t="s">
        <v>391</v>
      </c>
      <c r="D12" s="53" t="str">
        <f>IFERROR(__xludf.DUMMYFUNCTION("""COMPUTED_VALUE"""),"odspnf2019")</f>
        <v>odspnf2019</v>
      </c>
    </row>
    <row r="13">
      <c r="B13" s="54" t="s">
        <v>402</v>
      </c>
      <c r="C13" s="52" t="s">
        <v>402</v>
      </c>
      <c r="D13" s="53" t="str">
        <f>IFERROR(__xludf.DUMMYFUNCTION("""COMPUTED_VALUE"""),"odspnf2019")</f>
        <v>odspnf2019</v>
      </c>
    </row>
    <row r="14">
      <c r="B14" s="54" t="s">
        <v>402</v>
      </c>
      <c r="C14" s="52" t="s">
        <v>402</v>
      </c>
      <c r="D14" s="53" t="str">
        <f>IFERROR(__xludf.DUMMYFUNCTION("""COMPUTED_VALUE"""),"odspnf2019")</f>
        <v>odspnf2019</v>
      </c>
    </row>
    <row r="15">
      <c r="B15" s="54" t="s">
        <v>402</v>
      </c>
      <c r="C15" s="52" t="s">
        <v>402</v>
      </c>
      <c r="D15" s="53" t="str">
        <f>IFERROR(__xludf.DUMMYFUNCTION("""COMPUTED_VALUE"""),"odspnf2019")</f>
        <v>odspnf2019</v>
      </c>
    </row>
    <row r="16">
      <c r="B16" s="51" t="s">
        <v>408</v>
      </c>
      <c r="C16" s="52" t="s">
        <v>408</v>
      </c>
      <c r="D16" s="53" t="str">
        <f>IFERROR(__xludf.DUMMYFUNCTION("""COMPUTED_VALUE"""),"acdiea2018")</f>
        <v>acdiea2018</v>
      </c>
    </row>
    <row r="17">
      <c r="B17" s="54" t="s">
        <v>408</v>
      </c>
      <c r="C17" s="52" t="s">
        <v>408</v>
      </c>
      <c r="D17" s="53" t="str">
        <f>IFERROR(__xludf.DUMMYFUNCTION("""COMPUTED_VALUE"""),"acdiea2018")</f>
        <v>acdiea2018</v>
      </c>
    </row>
    <row r="18">
      <c r="B18" s="54" t="s">
        <v>408</v>
      </c>
      <c r="C18" s="52" t="s">
        <v>408</v>
      </c>
      <c r="D18" s="53" t="str">
        <f>IFERROR(__xludf.DUMMYFUNCTION("""COMPUTED_VALUE"""),"acdiea2018")</f>
        <v>acdiea2018</v>
      </c>
    </row>
    <row r="19">
      <c r="B19" s="54" t="s">
        <v>408</v>
      </c>
      <c r="C19" s="52" t="s">
        <v>415</v>
      </c>
      <c r="D19" s="53" t="str">
        <f>IFERROR(__xludf.DUMMYFUNCTION("""COMPUTED_VALUE"""),"acdiea2018")</f>
        <v>acdiea2018</v>
      </c>
    </row>
    <row r="20">
      <c r="B20" s="54" t="s">
        <v>408</v>
      </c>
      <c r="C20" s="52" t="s">
        <v>415</v>
      </c>
      <c r="D20" s="53" t="str">
        <f>IFERROR(__xludf.DUMMYFUNCTION("""COMPUTED_VALUE"""),"acdiea2018")</f>
        <v>acdiea2018</v>
      </c>
    </row>
    <row r="21">
      <c r="B21" s="54" t="s">
        <v>408</v>
      </c>
      <c r="C21" s="52" t="s">
        <v>415</v>
      </c>
      <c r="D21" s="53" t="str">
        <f>IFERROR(__xludf.DUMMYFUNCTION("""COMPUTED_VALUE"""),"acdiea2018")</f>
        <v>acdiea2018</v>
      </c>
    </row>
    <row r="22">
      <c r="B22" s="51" t="s">
        <v>454</v>
      </c>
      <c r="C22" s="52" t="s">
        <v>420</v>
      </c>
      <c r="D22" s="53"/>
    </row>
    <row r="23">
      <c r="B23" s="54" t="s">
        <v>454</v>
      </c>
      <c r="C23" s="52" t="s">
        <v>420</v>
      </c>
      <c r="D23" s="53"/>
    </row>
    <row r="24">
      <c r="B24" s="54" t="s">
        <v>454</v>
      </c>
      <c r="C24" s="52" t="s">
        <v>420</v>
      </c>
      <c r="D24" s="53"/>
    </row>
    <row r="25">
      <c r="B25" s="54" t="s">
        <v>454</v>
      </c>
      <c r="C25" s="52" t="s">
        <v>420</v>
      </c>
      <c r="D25" s="53"/>
    </row>
    <row r="26">
      <c r="B26" s="54" t="s">
        <v>454</v>
      </c>
      <c r="C26" s="52" t="s">
        <v>425</v>
      </c>
      <c r="D26" s="53"/>
    </row>
    <row r="27">
      <c r="B27" s="54" t="s">
        <v>454</v>
      </c>
      <c r="C27" s="52" t="s">
        <v>425</v>
      </c>
      <c r="D27" s="53"/>
    </row>
    <row r="28">
      <c r="B28" s="51" t="s">
        <v>461</v>
      </c>
      <c r="C28" s="52" t="s">
        <v>425</v>
      </c>
      <c r="D28" s="53"/>
    </row>
    <row r="29">
      <c r="B29" s="54" t="s">
        <v>461</v>
      </c>
      <c r="C29" s="52" t="s">
        <v>432</v>
      </c>
      <c r="D29" s="53"/>
    </row>
    <row r="30">
      <c r="B30" s="54" t="s">
        <v>461</v>
      </c>
      <c r="C30" s="52" t="s">
        <v>432</v>
      </c>
      <c r="D30" s="53"/>
    </row>
    <row r="31">
      <c r="B31" s="54" t="s">
        <v>461</v>
      </c>
      <c r="C31" s="52" t="s">
        <v>436</v>
      </c>
      <c r="D31" s="53"/>
    </row>
    <row r="32">
      <c r="B32" s="54" t="s">
        <v>461</v>
      </c>
      <c r="C32" s="52" t="s">
        <v>436</v>
      </c>
      <c r="D32" s="53"/>
    </row>
    <row r="33">
      <c r="B33" s="54" t="s">
        <v>461</v>
      </c>
      <c r="C33" s="52" t="s">
        <v>436</v>
      </c>
      <c r="D33" s="53"/>
    </row>
    <row r="34">
      <c r="B34" s="51" t="s">
        <v>465</v>
      </c>
      <c r="C34" s="52" t="s">
        <v>436</v>
      </c>
      <c r="D34" s="53"/>
    </row>
    <row r="35">
      <c r="B35" s="54" t="s">
        <v>465</v>
      </c>
      <c r="C35" s="52" t="s">
        <v>441</v>
      </c>
      <c r="D35" s="53"/>
    </row>
    <row r="36">
      <c r="B36" s="54" t="s">
        <v>465</v>
      </c>
      <c r="C36" s="52" t="s">
        <v>441</v>
      </c>
      <c r="D36" s="53"/>
    </row>
    <row r="37">
      <c r="B37" s="54" t="s">
        <v>465</v>
      </c>
      <c r="C37" s="52" t="s">
        <v>443</v>
      </c>
      <c r="D37" s="53"/>
    </row>
    <row r="38">
      <c r="B38" s="54" t="s">
        <v>465</v>
      </c>
      <c r="C38" s="52" t="s">
        <v>443</v>
      </c>
      <c r="D38" s="53"/>
    </row>
    <row r="39">
      <c r="B39" s="54" t="s">
        <v>465</v>
      </c>
      <c r="C39" s="52" t="s">
        <v>443</v>
      </c>
      <c r="D39" s="53"/>
    </row>
    <row r="40">
      <c r="B40" s="51" t="s">
        <v>474</v>
      </c>
      <c r="C40" s="52" t="s">
        <v>443</v>
      </c>
      <c r="D40" s="53"/>
    </row>
    <row r="41">
      <c r="B41" s="54" t="s">
        <v>474</v>
      </c>
      <c r="C41" s="52" t="s">
        <v>448</v>
      </c>
      <c r="D41" s="53"/>
    </row>
    <row r="42">
      <c r="B42" s="54" t="s">
        <v>474</v>
      </c>
      <c r="C42" s="52" t="s">
        <v>448</v>
      </c>
      <c r="D42" s="53"/>
    </row>
    <row r="43">
      <c r="B43" s="54" t="s">
        <v>474</v>
      </c>
      <c r="C43" s="52" t="s">
        <v>448</v>
      </c>
      <c r="D43" s="53"/>
    </row>
    <row r="44">
      <c r="B44" s="54" t="s">
        <v>474</v>
      </c>
      <c r="C44" s="52" t="s">
        <v>451</v>
      </c>
      <c r="D44" s="53"/>
    </row>
    <row r="45">
      <c r="B45" s="54" t="s">
        <v>474</v>
      </c>
      <c r="C45" s="52" t="s">
        <v>451</v>
      </c>
      <c r="D45" s="53"/>
    </row>
    <row r="46">
      <c r="B46" s="51" t="s">
        <v>498</v>
      </c>
      <c r="C46" s="52" t="s">
        <v>454</v>
      </c>
      <c r="D46" s="53"/>
    </row>
    <row r="47">
      <c r="B47" s="54" t="s">
        <v>498</v>
      </c>
      <c r="C47" s="52" t="s">
        <v>454</v>
      </c>
      <c r="D47" s="53"/>
    </row>
    <row r="48">
      <c r="B48" s="54" t="s">
        <v>498</v>
      </c>
      <c r="C48" s="52" t="s">
        <v>454</v>
      </c>
      <c r="D48" s="53"/>
    </row>
    <row r="49">
      <c r="B49" s="54" t="s">
        <v>498</v>
      </c>
      <c r="C49" s="52" t="s">
        <v>458</v>
      </c>
      <c r="D49" s="53"/>
    </row>
    <row r="50">
      <c r="B50" s="54" t="s">
        <v>498</v>
      </c>
      <c r="C50" s="52" t="s">
        <v>458</v>
      </c>
      <c r="D50" s="53"/>
    </row>
    <row r="51">
      <c r="B51" s="54" t="s">
        <v>498</v>
      </c>
      <c r="C51" s="52" t="s">
        <v>461</v>
      </c>
      <c r="D51" s="53"/>
    </row>
    <row r="52">
      <c r="B52" s="51" t="s">
        <v>502</v>
      </c>
      <c r="C52" s="52" t="s">
        <v>461</v>
      </c>
      <c r="D52" s="53"/>
    </row>
    <row r="53">
      <c r="B53" s="54" t="s">
        <v>502</v>
      </c>
      <c r="C53" s="52" t="s">
        <v>461</v>
      </c>
      <c r="D53" s="53"/>
    </row>
    <row r="54">
      <c r="B54" s="54" t="s">
        <v>502</v>
      </c>
      <c r="C54" s="52" t="s">
        <v>463</v>
      </c>
      <c r="D54" s="53"/>
    </row>
    <row r="55">
      <c r="B55" s="54" t="s">
        <v>502</v>
      </c>
      <c r="C55" s="52" t="s">
        <v>463</v>
      </c>
      <c r="D55" s="53"/>
    </row>
    <row r="56">
      <c r="B56" s="54" t="s">
        <v>502</v>
      </c>
      <c r="C56" s="52" t="s">
        <v>465</v>
      </c>
      <c r="D56" s="53"/>
    </row>
    <row r="57">
      <c r="B57" s="54" t="s">
        <v>502</v>
      </c>
      <c r="C57" s="52" t="s">
        <v>467</v>
      </c>
      <c r="D57" s="53"/>
    </row>
    <row r="58">
      <c r="B58" s="51" t="s">
        <v>910</v>
      </c>
      <c r="C58" s="52" t="s">
        <v>467</v>
      </c>
      <c r="D58" s="53"/>
    </row>
    <row r="59">
      <c r="B59" s="54" t="s">
        <v>910</v>
      </c>
      <c r="C59" s="52" t="s">
        <v>467</v>
      </c>
      <c r="D59" s="53"/>
    </row>
    <row r="60">
      <c r="B60" s="54" t="s">
        <v>910</v>
      </c>
      <c r="C60" s="52" t="s">
        <v>471</v>
      </c>
      <c r="D60" s="53"/>
    </row>
    <row r="61">
      <c r="B61" s="54" t="s">
        <v>910</v>
      </c>
      <c r="C61" s="52" t="s">
        <v>471</v>
      </c>
      <c r="D61" s="53"/>
    </row>
    <row r="62">
      <c r="B62" s="54" t="s">
        <v>910</v>
      </c>
      <c r="C62" s="52" t="s">
        <v>474</v>
      </c>
      <c r="D62" s="53"/>
    </row>
    <row r="63">
      <c r="B63" s="54" t="s">
        <v>910</v>
      </c>
      <c r="C63" s="52" t="s">
        <v>474</v>
      </c>
      <c r="D63" s="53"/>
    </row>
    <row r="64">
      <c r="B64" s="51" t="s">
        <v>370</v>
      </c>
      <c r="C64" s="52" t="s">
        <v>476</v>
      </c>
      <c r="D64" s="53"/>
    </row>
    <row r="65">
      <c r="B65" s="54" t="s">
        <v>370</v>
      </c>
      <c r="C65" s="52" t="s">
        <v>476</v>
      </c>
      <c r="D65" s="53"/>
    </row>
    <row r="66">
      <c r="B66" s="54" t="s">
        <v>370</v>
      </c>
      <c r="C66" s="52" t="s">
        <v>479</v>
      </c>
      <c r="D66" s="53"/>
    </row>
    <row r="67">
      <c r="B67" s="54" t="s">
        <v>370</v>
      </c>
      <c r="C67" s="52" t="s">
        <v>479</v>
      </c>
      <c r="D67" s="53"/>
    </row>
    <row r="68">
      <c r="B68" s="54" t="s">
        <v>370</v>
      </c>
      <c r="C68" s="52" t="s">
        <v>481</v>
      </c>
      <c r="D68" s="53"/>
    </row>
    <row r="69">
      <c r="B69" s="54" t="s">
        <v>370</v>
      </c>
      <c r="C69" s="52" t="s">
        <v>481</v>
      </c>
      <c r="D69" s="53"/>
    </row>
    <row r="70">
      <c r="B70" s="51" t="s">
        <v>386</v>
      </c>
      <c r="C70" s="52" t="s">
        <v>481</v>
      </c>
      <c r="D70" s="53"/>
    </row>
    <row r="71">
      <c r="B71" s="54" t="s">
        <v>386</v>
      </c>
      <c r="C71" s="52" t="s">
        <v>481</v>
      </c>
      <c r="D71" s="53"/>
    </row>
    <row r="72">
      <c r="B72" s="54" t="s">
        <v>386</v>
      </c>
      <c r="C72" s="52" t="s">
        <v>487</v>
      </c>
      <c r="D72" s="53"/>
    </row>
    <row r="73">
      <c r="B73" s="54" t="s">
        <v>386</v>
      </c>
      <c r="C73" s="52" t="s">
        <v>487</v>
      </c>
      <c r="D73" s="53"/>
    </row>
    <row r="74">
      <c r="B74" s="54" t="s">
        <v>386</v>
      </c>
      <c r="C74" s="52" t="s">
        <v>487</v>
      </c>
      <c r="D74" s="53"/>
    </row>
    <row r="75">
      <c r="B75" s="54" t="s">
        <v>386</v>
      </c>
      <c r="C75" s="52" t="s">
        <v>487</v>
      </c>
      <c r="D75" s="53"/>
    </row>
    <row r="76">
      <c r="B76" s="51" t="s">
        <v>420</v>
      </c>
      <c r="C76" s="52" t="s">
        <v>493</v>
      </c>
      <c r="D76" s="53"/>
    </row>
    <row r="77">
      <c r="B77" s="54" t="s">
        <v>420</v>
      </c>
      <c r="C77" s="52" t="s">
        <v>493</v>
      </c>
      <c r="D77" s="53"/>
    </row>
    <row r="78">
      <c r="B78" s="54" t="s">
        <v>420</v>
      </c>
      <c r="C78" s="52" t="s">
        <v>493</v>
      </c>
      <c r="D78" s="53"/>
    </row>
    <row r="79">
      <c r="B79" s="54" t="s">
        <v>420</v>
      </c>
      <c r="C79" s="52" t="s">
        <v>493</v>
      </c>
      <c r="D79" s="53"/>
    </row>
    <row r="80">
      <c r="B80" s="54" t="s">
        <v>420</v>
      </c>
      <c r="C80" s="52" t="s">
        <v>493</v>
      </c>
      <c r="D80" s="53"/>
    </row>
    <row r="81">
      <c r="B81" s="54" t="s">
        <v>420</v>
      </c>
      <c r="C81" s="52" t="s">
        <v>498</v>
      </c>
      <c r="D81" s="53"/>
    </row>
    <row r="82">
      <c r="B82" s="51" t="s">
        <v>441</v>
      </c>
      <c r="C82" s="52" t="s">
        <v>498</v>
      </c>
      <c r="D82" s="53"/>
    </row>
    <row r="83">
      <c r="B83" s="54" t="s">
        <v>441</v>
      </c>
      <c r="C83" s="52" t="s">
        <v>498</v>
      </c>
      <c r="D83" s="53"/>
    </row>
    <row r="84">
      <c r="B84" s="54" t="s">
        <v>441</v>
      </c>
      <c r="C84" s="52" t="s">
        <v>502</v>
      </c>
      <c r="D84" s="53"/>
    </row>
    <row r="85">
      <c r="B85" s="54" t="s">
        <v>441</v>
      </c>
      <c r="C85" s="52" t="s">
        <v>502</v>
      </c>
      <c r="D85" s="53"/>
    </row>
    <row r="86">
      <c r="B86" s="54" t="s">
        <v>441</v>
      </c>
      <c r="C86" s="52" t="s">
        <v>502</v>
      </c>
      <c r="D86" s="53"/>
    </row>
    <row r="87">
      <c r="B87" s="54" t="s">
        <v>441</v>
      </c>
      <c r="C87" s="52" t="s">
        <v>502</v>
      </c>
      <c r="D87" s="53"/>
    </row>
    <row r="88">
      <c r="B88" s="51" t="s">
        <v>448</v>
      </c>
      <c r="C88" s="52" t="s">
        <v>502</v>
      </c>
      <c r="D88" s="53"/>
    </row>
    <row r="89">
      <c r="B89" s="54" t="s">
        <v>448</v>
      </c>
      <c r="C89" s="52" t="s">
        <v>506</v>
      </c>
      <c r="D89" s="53"/>
    </row>
    <row r="90">
      <c r="B90" s="54" t="s">
        <v>448</v>
      </c>
      <c r="C90" s="52" t="s">
        <v>506</v>
      </c>
      <c r="D90" s="53"/>
    </row>
    <row r="91">
      <c r="B91" s="54" t="s">
        <v>448</v>
      </c>
      <c r="C91" s="52" t="s">
        <v>506</v>
      </c>
      <c r="D91" s="53"/>
    </row>
    <row r="92">
      <c r="B92" s="54" t="s">
        <v>448</v>
      </c>
      <c r="C92" s="52" t="s">
        <v>506</v>
      </c>
      <c r="D92" s="53"/>
    </row>
    <row r="93">
      <c r="B93" s="54" t="s">
        <v>448</v>
      </c>
      <c r="C93" s="52" t="s">
        <v>506</v>
      </c>
      <c r="D93" s="53"/>
    </row>
    <row r="94">
      <c r="B94" s="51" t="s">
        <v>451</v>
      </c>
      <c r="C94" s="52" t="s">
        <v>513</v>
      </c>
      <c r="D94" s="53"/>
    </row>
    <row r="95">
      <c r="B95" s="54" t="s">
        <v>451</v>
      </c>
      <c r="C95" s="52" t="s">
        <v>513</v>
      </c>
      <c r="D95" s="53"/>
    </row>
    <row r="96">
      <c r="B96" s="54" t="s">
        <v>451</v>
      </c>
      <c r="C96" s="52" t="s">
        <v>513</v>
      </c>
      <c r="D96" s="53"/>
    </row>
    <row r="97">
      <c r="B97" s="54" t="s">
        <v>451</v>
      </c>
      <c r="C97" s="52" t="s">
        <v>513</v>
      </c>
      <c r="D97" s="53"/>
    </row>
    <row r="98">
      <c r="B98" s="54" t="s">
        <v>451</v>
      </c>
      <c r="C98" s="52" t="s">
        <v>513</v>
      </c>
      <c r="D98" s="53"/>
    </row>
    <row r="99">
      <c r="B99" s="54" t="s">
        <v>451</v>
      </c>
      <c r="C99" s="52" t="s">
        <v>513</v>
      </c>
      <c r="D99" s="53"/>
    </row>
    <row r="100">
      <c r="B100" s="51" t="s">
        <v>443</v>
      </c>
      <c r="C100" s="52" t="s">
        <v>518</v>
      </c>
      <c r="D100" s="53"/>
    </row>
    <row r="101">
      <c r="B101" s="54" t="s">
        <v>443</v>
      </c>
      <c r="C101" s="52" t="s">
        <v>518</v>
      </c>
      <c r="D101" s="53"/>
    </row>
    <row r="102">
      <c r="B102" s="54" t="s">
        <v>443</v>
      </c>
      <c r="C102" s="52" t="s">
        <v>521</v>
      </c>
      <c r="D102" s="53"/>
    </row>
    <row r="103">
      <c r="B103" s="54" t="s">
        <v>443</v>
      </c>
      <c r="C103" s="52" t="s">
        <v>521</v>
      </c>
      <c r="D103" s="53"/>
    </row>
    <row r="104">
      <c r="B104" s="54" t="s">
        <v>443</v>
      </c>
      <c r="C104" s="52" t="s">
        <v>523</v>
      </c>
      <c r="D104" s="53"/>
    </row>
    <row r="105">
      <c r="B105" s="54" t="s">
        <v>443</v>
      </c>
      <c r="C105" s="52" t="s">
        <v>525</v>
      </c>
      <c r="D105" s="53"/>
    </row>
    <row r="106">
      <c r="B106" s="51" t="s">
        <v>463</v>
      </c>
      <c r="C106" s="52" t="s">
        <v>525</v>
      </c>
      <c r="D106" s="53"/>
    </row>
    <row r="107">
      <c r="B107" s="54" t="s">
        <v>463</v>
      </c>
      <c r="C107" s="52" t="s">
        <v>525</v>
      </c>
      <c r="D107" s="53"/>
    </row>
    <row r="108">
      <c r="B108" s="54" t="s">
        <v>463</v>
      </c>
      <c r="C108" s="52" t="s">
        <v>525</v>
      </c>
      <c r="D108" s="53"/>
    </row>
    <row r="109">
      <c r="B109" s="54" t="s">
        <v>463</v>
      </c>
      <c r="C109" s="52" t="s">
        <v>529</v>
      </c>
      <c r="D109" s="53"/>
    </row>
    <row r="110">
      <c r="B110" s="54" t="s">
        <v>463</v>
      </c>
      <c r="C110" s="52" t="s">
        <v>529</v>
      </c>
      <c r="D110" s="53"/>
    </row>
    <row r="111">
      <c r="B111" s="54" t="s">
        <v>463</v>
      </c>
      <c r="C111" s="52" t="s">
        <v>531</v>
      </c>
      <c r="D111" s="53"/>
    </row>
    <row r="112">
      <c r="B112" s="51" t="s">
        <v>377</v>
      </c>
      <c r="C112" s="52" t="s">
        <v>531</v>
      </c>
      <c r="D112" s="53"/>
    </row>
    <row r="113">
      <c r="B113" s="54" t="s">
        <v>377</v>
      </c>
      <c r="C113" s="52" t="s">
        <v>533</v>
      </c>
      <c r="D113" s="53"/>
    </row>
    <row r="114">
      <c r="B114" s="54" t="s">
        <v>377</v>
      </c>
      <c r="C114" s="52" t="s">
        <v>533</v>
      </c>
      <c r="D114" s="53"/>
    </row>
    <row r="115">
      <c r="B115" s="54" t="s">
        <v>377</v>
      </c>
      <c r="C115" s="52" t="s">
        <v>533</v>
      </c>
      <c r="D115" s="53"/>
    </row>
    <row r="116">
      <c r="B116" s="54" t="s">
        <v>377</v>
      </c>
      <c r="C116" s="52" t="s">
        <v>533</v>
      </c>
      <c r="D116" s="53"/>
    </row>
    <row r="117">
      <c r="B117" s="54" t="s">
        <v>377</v>
      </c>
      <c r="C117" s="52" t="s">
        <v>533</v>
      </c>
      <c r="D117" s="53"/>
    </row>
    <row r="118">
      <c r="B118" s="51" t="s">
        <v>415</v>
      </c>
      <c r="C118" s="52" t="s">
        <v>542</v>
      </c>
      <c r="D118" s="53"/>
    </row>
    <row r="119">
      <c r="B119" s="54" t="s">
        <v>415</v>
      </c>
      <c r="C119" s="52" t="s">
        <v>542</v>
      </c>
      <c r="D119" s="53"/>
    </row>
    <row r="120">
      <c r="B120" s="54" t="s">
        <v>415</v>
      </c>
      <c r="C120" s="52" t="s">
        <v>542</v>
      </c>
      <c r="D120" s="53"/>
    </row>
    <row r="121">
      <c r="B121" s="54" t="s">
        <v>415</v>
      </c>
      <c r="C121" s="52" t="s">
        <v>545</v>
      </c>
      <c r="D121" s="53"/>
    </row>
    <row r="122">
      <c r="B122" s="54" t="s">
        <v>415</v>
      </c>
      <c r="C122" s="52" t="s">
        <v>545</v>
      </c>
      <c r="D122" s="53"/>
    </row>
    <row r="123">
      <c r="B123" s="54" t="s">
        <v>415</v>
      </c>
      <c r="C123" s="52" t="s">
        <v>545</v>
      </c>
      <c r="D123" s="53"/>
    </row>
    <row r="124">
      <c r="B124" s="51" t="s">
        <v>425</v>
      </c>
      <c r="C124" s="52" t="s">
        <v>545</v>
      </c>
      <c r="D124" s="53"/>
    </row>
    <row r="125">
      <c r="B125" s="54" t="s">
        <v>425</v>
      </c>
      <c r="C125" s="52" t="s">
        <v>545</v>
      </c>
      <c r="D125" s="53"/>
    </row>
    <row r="126">
      <c r="B126" s="54" t="s">
        <v>425</v>
      </c>
      <c r="C126" s="52" t="s">
        <v>551</v>
      </c>
      <c r="D126" s="53"/>
    </row>
    <row r="127">
      <c r="B127" s="54" t="s">
        <v>425</v>
      </c>
      <c r="C127" s="52" t="s">
        <v>551</v>
      </c>
      <c r="D127" s="53"/>
    </row>
    <row r="128">
      <c r="B128" s="54" t="s">
        <v>425</v>
      </c>
      <c r="C128" s="52" t="s">
        <v>556</v>
      </c>
      <c r="D128" s="53"/>
    </row>
    <row r="129">
      <c r="B129" s="54" t="s">
        <v>425</v>
      </c>
      <c r="C129" s="52" t="s">
        <v>557</v>
      </c>
      <c r="D129" s="53"/>
    </row>
    <row r="130">
      <c r="B130" s="51" t="s">
        <v>471</v>
      </c>
      <c r="C130" s="52" t="s">
        <v>557</v>
      </c>
      <c r="D130" s="53"/>
    </row>
    <row r="131">
      <c r="B131" s="54" t="s">
        <v>471</v>
      </c>
      <c r="C131" s="52" t="s">
        <v>560</v>
      </c>
      <c r="D131" s="53"/>
    </row>
    <row r="132">
      <c r="B132" s="54" t="s">
        <v>471</v>
      </c>
      <c r="C132" s="52" t="s">
        <v>560</v>
      </c>
      <c r="D132" s="53"/>
    </row>
    <row r="133">
      <c r="B133" s="54" t="s">
        <v>471</v>
      </c>
      <c r="C133" s="52" t="s">
        <v>564</v>
      </c>
      <c r="D133" s="53"/>
    </row>
    <row r="134">
      <c r="B134" s="54" t="s">
        <v>471</v>
      </c>
      <c r="C134" s="52" t="s">
        <v>564</v>
      </c>
      <c r="D134" s="53"/>
    </row>
    <row r="135">
      <c r="B135" s="54" t="s">
        <v>471</v>
      </c>
      <c r="C135" s="52" t="s">
        <v>564</v>
      </c>
      <c r="D135" s="53"/>
    </row>
    <row r="136">
      <c r="B136" s="51" t="s">
        <v>479</v>
      </c>
      <c r="C136" s="52" t="s">
        <v>564</v>
      </c>
      <c r="D136" s="53"/>
    </row>
    <row r="137">
      <c r="B137" s="54" t="s">
        <v>479</v>
      </c>
      <c r="C137" s="52" t="s">
        <v>564</v>
      </c>
      <c r="D137" s="53"/>
    </row>
    <row r="138">
      <c r="B138" s="54" t="s">
        <v>479</v>
      </c>
      <c r="C138" s="52" t="s">
        <v>564</v>
      </c>
      <c r="D138" s="53"/>
    </row>
    <row r="139">
      <c r="B139" s="54" t="s">
        <v>479</v>
      </c>
      <c r="C139" s="52" t="s">
        <v>569</v>
      </c>
      <c r="D139" s="53"/>
    </row>
    <row r="140">
      <c r="B140" s="54" t="s">
        <v>479</v>
      </c>
      <c r="C140" s="52" t="s">
        <v>569</v>
      </c>
      <c r="D140" s="53"/>
    </row>
    <row r="141">
      <c r="B141" s="54" t="s">
        <v>479</v>
      </c>
      <c r="C141" s="52" t="s">
        <v>571</v>
      </c>
      <c r="D141" s="53"/>
    </row>
    <row r="142">
      <c r="B142" s="51" t="s">
        <v>493</v>
      </c>
      <c r="C142" s="52" t="s">
        <v>571</v>
      </c>
      <c r="D142" s="53"/>
    </row>
    <row r="143">
      <c r="B143" s="54" t="s">
        <v>493</v>
      </c>
      <c r="C143" s="52" t="s">
        <v>573</v>
      </c>
      <c r="D143" s="53"/>
    </row>
    <row r="144">
      <c r="B144" s="54" t="s">
        <v>493</v>
      </c>
      <c r="C144" s="52" t="s">
        <v>573</v>
      </c>
      <c r="D144" s="53"/>
    </row>
    <row r="145">
      <c r="B145" s="54" t="s">
        <v>493</v>
      </c>
      <c r="C145" s="52" t="s">
        <v>573</v>
      </c>
      <c r="D145" s="53"/>
    </row>
    <row r="146">
      <c r="B146" s="54" t="s">
        <v>493</v>
      </c>
      <c r="C146" s="52" t="s">
        <v>577</v>
      </c>
      <c r="D146" s="53"/>
    </row>
    <row r="147">
      <c r="B147" s="54" t="s">
        <v>493</v>
      </c>
      <c r="C147" s="52" t="s">
        <v>577</v>
      </c>
      <c r="D147" s="53"/>
    </row>
    <row r="148">
      <c r="B148" s="51" t="s">
        <v>476</v>
      </c>
      <c r="C148" s="52" t="s">
        <v>577</v>
      </c>
      <c r="D148" s="53"/>
    </row>
    <row r="149">
      <c r="B149" s="54" t="s">
        <v>476</v>
      </c>
      <c r="C149" s="52" t="s">
        <v>577</v>
      </c>
      <c r="D149" s="53"/>
    </row>
    <row r="150">
      <c r="B150" s="54" t="s">
        <v>476</v>
      </c>
      <c r="C150" s="52" t="s">
        <v>577</v>
      </c>
      <c r="D150" s="53"/>
    </row>
    <row r="151">
      <c r="B151" s="54" t="s">
        <v>476</v>
      </c>
      <c r="C151" s="52" t="s">
        <v>585</v>
      </c>
      <c r="D151" s="53"/>
    </row>
    <row r="152">
      <c r="B152" s="54" t="s">
        <v>476</v>
      </c>
      <c r="C152" s="52" t="s">
        <v>585</v>
      </c>
      <c r="D152" s="53"/>
    </row>
    <row r="153">
      <c r="B153" s="54" t="s">
        <v>476</v>
      </c>
      <c r="C153" s="52" t="s">
        <v>588</v>
      </c>
      <c r="D153" s="53"/>
    </row>
    <row r="154">
      <c r="B154" s="51" t="s">
        <v>521</v>
      </c>
      <c r="C154" s="52" t="s">
        <v>588</v>
      </c>
      <c r="D154" s="53"/>
    </row>
    <row r="155">
      <c r="B155" s="54" t="s">
        <v>521</v>
      </c>
      <c r="C155" s="52" t="s">
        <v>588</v>
      </c>
      <c r="D155" s="53"/>
    </row>
    <row r="156">
      <c r="B156" s="54" t="s">
        <v>521</v>
      </c>
      <c r="C156" s="52" t="s">
        <v>593</v>
      </c>
      <c r="D156" s="53"/>
    </row>
    <row r="157">
      <c r="B157" s="54" t="s">
        <v>521</v>
      </c>
      <c r="C157" s="52" t="s">
        <v>593</v>
      </c>
      <c r="D157" s="53"/>
    </row>
    <row r="158">
      <c r="B158" s="54" t="s">
        <v>521</v>
      </c>
      <c r="C158" s="52" t="s">
        <v>593</v>
      </c>
      <c r="D158" s="53"/>
    </row>
    <row r="159">
      <c r="B159" s="54" t="s">
        <v>521</v>
      </c>
      <c r="C159" s="52" t="s">
        <v>597</v>
      </c>
      <c r="D159" s="53"/>
    </row>
    <row r="160">
      <c r="B160" s="51" t="s">
        <v>525</v>
      </c>
      <c r="C160" s="52" t="s">
        <v>597</v>
      </c>
      <c r="D160" s="53"/>
    </row>
    <row r="161">
      <c r="B161" s="54" t="s">
        <v>525</v>
      </c>
      <c r="C161" s="52" t="s">
        <v>597</v>
      </c>
      <c r="D161" s="53"/>
    </row>
    <row r="162">
      <c r="B162" s="54" t="s">
        <v>525</v>
      </c>
      <c r="C162" s="52" t="s">
        <v>598</v>
      </c>
      <c r="D162" s="53"/>
    </row>
    <row r="163">
      <c r="B163" s="54" t="s">
        <v>525</v>
      </c>
      <c r="C163" s="52" t="s">
        <v>598</v>
      </c>
      <c r="D163" s="53"/>
    </row>
    <row r="164">
      <c r="B164" s="54" t="s">
        <v>525</v>
      </c>
      <c r="C164" s="52" t="s">
        <v>598</v>
      </c>
      <c r="D164" s="53"/>
    </row>
    <row r="165">
      <c r="B165" s="54" t="s">
        <v>525</v>
      </c>
      <c r="C165" s="52" t="s">
        <v>603</v>
      </c>
      <c r="D165" s="53"/>
    </row>
    <row r="166">
      <c r="B166" s="51" t="s">
        <v>391</v>
      </c>
      <c r="C166" s="52" t="s">
        <v>603</v>
      </c>
      <c r="D166" s="53"/>
    </row>
    <row r="167">
      <c r="B167" s="54" t="s">
        <v>391</v>
      </c>
      <c r="C167" s="52" t="s">
        <v>603</v>
      </c>
      <c r="D167" s="53"/>
    </row>
    <row r="168">
      <c r="B168" s="54" t="s">
        <v>391</v>
      </c>
      <c r="C168" s="52" t="s">
        <v>607</v>
      </c>
      <c r="D168" s="53"/>
    </row>
    <row r="169">
      <c r="B169" s="54" t="s">
        <v>391</v>
      </c>
      <c r="C169" s="52" t="s">
        <v>607</v>
      </c>
      <c r="D169" s="53"/>
    </row>
    <row r="170">
      <c r="B170" s="54" t="s">
        <v>391</v>
      </c>
      <c r="C170" s="52" t="s">
        <v>610</v>
      </c>
      <c r="D170" s="53"/>
    </row>
    <row r="171">
      <c r="B171" s="54" t="s">
        <v>391</v>
      </c>
      <c r="C171" s="52" t="s">
        <v>610</v>
      </c>
      <c r="D171" s="53"/>
    </row>
    <row r="172">
      <c r="B172" s="51" t="s">
        <v>432</v>
      </c>
      <c r="C172" s="52" t="s">
        <v>612</v>
      </c>
      <c r="D172" s="53"/>
    </row>
    <row r="173">
      <c r="B173" s="54" t="s">
        <v>432</v>
      </c>
      <c r="C173" s="52" t="s">
        <v>612</v>
      </c>
      <c r="D173" s="53"/>
    </row>
    <row r="174">
      <c r="B174" s="54" t="s">
        <v>432</v>
      </c>
      <c r="C174" s="52" t="s">
        <v>612</v>
      </c>
      <c r="D174" s="53"/>
    </row>
    <row r="175">
      <c r="B175" s="54" t="s">
        <v>432</v>
      </c>
      <c r="C175" s="52" t="s">
        <v>615</v>
      </c>
      <c r="D175" s="53"/>
    </row>
    <row r="176">
      <c r="B176" s="54" t="s">
        <v>432</v>
      </c>
      <c r="C176" s="52" t="s">
        <v>615</v>
      </c>
      <c r="D176" s="53"/>
    </row>
    <row r="177">
      <c r="B177" s="54" t="s">
        <v>432</v>
      </c>
      <c r="C177" s="52" t="s">
        <v>615</v>
      </c>
      <c r="D177" s="53"/>
    </row>
    <row r="178">
      <c r="B178" s="51" t="s">
        <v>436</v>
      </c>
      <c r="C178" s="52" t="s">
        <v>615</v>
      </c>
      <c r="D178" s="53"/>
    </row>
    <row r="179">
      <c r="B179" s="54" t="s">
        <v>436</v>
      </c>
      <c r="C179" s="52" t="s">
        <v>619</v>
      </c>
      <c r="D179" s="53"/>
    </row>
    <row r="180">
      <c r="B180" s="54" t="s">
        <v>436</v>
      </c>
      <c r="C180" s="52" t="s">
        <v>619</v>
      </c>
      <c r="D180" s="53"/>
    </row>
    <row r="181">
      <c r="B181" s="54" t="s">
        <v>436</v>
      </c>
      <c r="C181" s="52" t="s">
        <v>619</v>
      </c>
      <c r="D181" s="53"/>
    </row>
    <row r="182">
      <c r="B182" s="54" t="s">
        <v>436</v>
      </c>
      <c r="C182" s="52" t="s">
        <v>623</v>
      </c>
      <c r="D182" s="53"/>
    </row>
    <row r="183">
      <c r="B183" s="54" t="s">
        <v>436</v>
      </c>
      <c r="C183" s="52" t="s">
        <v>623</v>
      </c>
      <c r="D183" s="53"/>
    </row>
    <row r="184">
      <c r="B184" s="51" t="s">
        <v>458</v>
      </c>
      <c r="C184" s="52" t="s">
        <v>623</v>
      </c>
      <c r="D184" s="53"/>
    </row>
    <row r="185">
      <c r="B185" s="54" t="s">
        <v>458</v>
      </c>
      <c r="C185" s="52" t="s">
        <v>625</v>
      </c>
      <c r="D185" s="53"/>
    </row>
    <row r="186">
      <c r="B186" s="54" t="s">
        <v>458</v>
      </c>
      <c r="C186" s="52" t="s">
        <v>625</v>
      </c>
      <c r="D186" s="53"/>
    </row>
    <row r="187">
      <c r="B187" s="54" t="s">
        <v>458</v>
      </c>
      <c r="C187" s="52" t="s">
        <v>625</v>
      </c>
      <c r="D187" s="53"/>
    </row>
    <row r="188">
      <c r="B188" s="54" t="s">
        <v>458</v>
      </c>
      <c r="C188" s="52" t="s">
        <v>625</v>
      </c>
      <c r="D188" s="53"/>
    </row>
    <row r="189">
      <c r="B189" s="54" t="s">
        <v>458</v>
      </c>
      <c r="C189" s="52" t="s">
        <v>625</v>
      </c>
      <c r="D189" s="53"/>
    </row>
    <row r="190">
      <c r="B190" s="51" t="s">
        <v>467</v>
      </c>
      <c r="C190" s="52" t="s">
        <v>631</v>
      </c>
      <c r="D190" s="53"/>
    </row>
    <row r="191">
      <c r="B191" s="54" t="s">
        <v>467</v>
      </c>
      <c r="C191" s="52" t="s">
        <v>631</v>
      </c>
      <c r="D191" s="53"/>
    </row>
    <row r="192">
      <c r="B192" s="54" t="s">
        <v>467</v>
      </c>
      <c r="C192" s="52" t="s">
        <v>631</v>
      </c>
      <c r="D192" s="53"/>
    </row>
    <row r="193">
      <c r="B193" s="54" t="s">
        <v>467</v>
      </c>
      <c r="C193" s="52" t="s">
        <v>633</v>
      </c>
      <c r="D193" s="53"/>
    </row>
    <row r="194">
      <c r="B194" s="54" t="s">
        <v>467</v>
      </c>
      <c r="C194" s="52" t="s">
        <v>633</v>
      </c>
      <c r="D194" s="53"/>
    </row>
    <row r="195">
      <c r="B195" s="54" t="s">
        <v>467</v>
      </c>
      <c r="C195" s="52" t="s">
        <v>633</v>
      </c>
      <c r="D195" s="53"/>
    </row>
    <row r="196">
      <c r="B196" s="51" t="s">
        <v>481</v>
      </c>
      <c r="C196" s="52" t="s">
        <v>640</v>
      </c>
      <c r="D196" s="53"/>
    </row>
    <row r="197">
      <c r="B197" s="54" t="s">
        <v>481</v>
      </c>
      <c r="C197" s="52" t="s">
        <v>640</v>
      </c>
      <c r="D197" s="53"/>
    </row>
    <row r="198">
      <c r="B198" s="54" t="s">
        <v>481</v>
      </c>
      <c r="C198" s="52" t="s">
        <v>640</v>
      </c>
      <c r="D198" s="53"/>
    </row>
    <row r="199">
      <c r="B199" s="54" t="s">
        <v>481</v>
      </c>
      <c r="C199" s="52" t="s">
        <v>640</v>
      </c>
      <c r="D199" s="53"/>
    </row>
    <row r="200">
      <c r="B200" s="54" t="s">
        <v>481</v>
      </c>
      <c r="C200" s="52" t="s">
        <v>640</v>
      </c>
      <c r="D200" s="53"/>
    </row>
    <row r="201">
      <c r="B201" s="54" t="s">
        <v>481</v>
      </c>
      <c r="C201" s="52" t="s">
        <v>646</v>
      </c>
      <c r="D201" s="53"/>
    </row>
    <row r="202">
      <c r="B202" s="51" t="s">
        <v>487</v>
      </c>
      <c r="C202" s="52" t="s">
        <v>646</v>
      </c>
      <c r="D202" s="53"/>
    </row>
    <row r="203">
      <c r="B203" s="54" t="s">
        <v>487</v>
      </c>
      <c r="C203" s="52" t="s">
        <v>646</v>
      </c>
      <c r="D203" s="53"/>
    </row>
    <row r="204">
      <c r="B204" s="54" t="s">
        <v>487</v>
      </c>
      <c r="C204" s="52" t="s">
        <v>650</v>
      </c>
      <c r="D204" s="53"/>
    </row>
    <row r="205">
      <c r="B205" s="54" t="s">
        <v>487</v>
      </c>
      <c r="C205" s="52" t="s">
        <v>650</v>
      </c>
      <c r="D205" s="53"/>
    </row>
    <row r="206">
      <c r="B206" s="54" t="s">
        <v>487</v>
      </c>
      <c r="C206" s="52" t="s">
        <v>650</v>
      </c>
      <c r="D206" s="53"/>
    </row>
    <row r="207">
      <c r="B207" s="54" t="s">
        <v>487</v>
      </c>
      <c r="C207" s="52" t="s">
        <v>650</v>
      </c>
      <c r="D207" s="53"/>
    </row>
    <row r="208">
      <c r="B208" s="51" t="s">
        <v>513</v>
      </c>
      <c r="C208" s="52" t="s">
        <v>657</v>
      </c>
      <c r="D208" s="53"/>
    </row>
    <row r="209">
      <c r="B209" s="54" t="s">
        <v>513</v>
      </c>
      <c r="C209" s="52" t="s">
        <v>657</v>
      </c>
      <c r="D209" s="53"/>
    </row>
    <row r="210">
      <c r="B210" s="54" t="s">
        <v>513</v>
      </c>
      <c r="C210" s="52" t="s">
        <v>657</v>
      </c>
      <c r="D210" s="53"/>
    </row>
    <row r="211">
      <c r="B211" s="54" t="s">
        <v>513</v>
      </c>
      <c r="C211" s="52" t="s">
        <v>657</v>
      </c>
      <c r="D211" s="53"/>
    </row>
    <row r="212">
      <c r="B212" s="54" t="s">
        <v>513</v>
      </c>
      <c r="C212" s="52" t="s">
        <v>662</v>
      </c>
      <c r="D212" s="53"/>
    </row>
    <row r="213">
      <c r="B213" s="54" t="s">
        <v>513</v>
      </c>
      <c r="C213" s="52" t="s">
        <v>662</v>
      </c>
      <c r="D213" s="53"/>
    </row>
    <row r="214">
      <c r="B214" s="51" t="s">
        <v>518</v>
      </c>
      <c r="C214" s="52" t="s">
        <v>662</v>
      </c>
      <c r="D214" s="53"/>
    </row>
    <row r="215">
      <c r="B215" s="54" t="s">
        <v>518</v>
      </c>
      <c r="C215" s="52" t="s">
        <v>662</v>
      </c>
      <c r="D215" s="53"/>
    </row>
    <row r="216">
      <c r="B216" s="54" t="s">
        <v>518</v>
      </c>
      <c r="C216" s="52" t="s">
        <v>667</v>
      </c>
      <c r="D216" s="53"/>
    </row>
    <row r="217">
      <c r="B217" s="54" t="s">
        <v>518</v>
      </c>
      <c r="C217" s="52" t="s">
        <v>667</v>
      </c>
      <c r="D217" s="53"/>
    </row>
    <row r="218">
      <c r="B218" s="54" t="s">
        <v>518</v>
      </c>
      <c r="C218" s="52" t="s">
        <v>667</v>
      </c>
      <c r="D218" s="53"/>
    </row>
    <row r="219">
      <c r="B219" s="54" t="s">
        <v>518</v>
      </c>
      <c r="C219" s="52" t="s">
        <v>671</v>
      </c>
      <c r="D219" s="53"/>
    </row>
    <row r="220">
      <c r="B220" s="51" t="s">
        <v>523</v>
      </c>
      <c r="C220" s="52" t="s">
        <v>671</v>
      </c>
      <c r="D220" s="53"/>
    </row>
    <row r="221">
      <c r="B221" s="54" t="s">
        <v>523</v>
      </c>
      <c r="C221" s="52" t="s">
        <v>674</v>
      </c>
      <c r="D221" s="53"/>
    </row>
    <row r="222">
      <c r="B222" s="54" t="s">
        <v>523</v>
      </c>
      <c r="C222" s="52" t="s">
        <v>674</v>
      </c>
      <c r="D222" s="53"/>
    </row>
    <row r="223">
      <c r="B223" s="54" t="s">
        <v>523</v>
      </c>
      <c r="C223" s="52" t="s">
        <v>674</v>
      </c>
      <c r="D223" s="53"/>
    </row>
    <row r="224">
      <c r="B224" s="54" t="s">
        <v>523</v>
      </c>
      <c r="C224" s="52" t="s">
        <v>674</v>
      </c>
      <c r="D224" s="53"/>
    </row>
    <row r="225">
      <c r="B225" s="54" t="s">
        <v>523</v>
      </c>
      <c r="C225" s="52" t="s">
        <v>675</v>
      </c>
      <c r="D225" s="53"/>
    </row>
    <row r="226">
      <c r="B226" s="51" t="s">
        <v>529</v>
      </c>
      <c r="C226" s="52" t="s">
        <v>675</v>
      </c>
      <c r="D226" s="53"/>
    </row>
    <row r="227">
      <c r="B227" s="54" t="s">
        <v>529</v>
      </c>
      <c r="C227" s="52" t="s">
        <v>675</v>
      </c>
      <c r="D227" s="53"/>
    </row>
    <row r="228">
      <c r="B228" s="54" t="s">
        <v>529</v>
      </c>
      <c r="C228" s="52" t="s">
        <v>679</v>
      </c>
      <c r="D228" s="53"/>
    </row>
    <row r="229">
      <c r="B229" s="54" t="s">
        <v>529</v>
      </c>
      <c r="C229" s="52" t="s">
        <v>679</v>
      </c>
      <c r="D229" s="53"/>
    </row>
    <row r="230">
      <c r="B230" s="54" t="s">
        <v>529</v>
      </c>
      <c r="C230" s="52" t="s">
        <v>679</v>
      </c>
      <c r="D230" s="53"/>
    </row>
    <row r="231">
      <c r="B231" s="54" t="s">
        <v>529</v>
      </c>
      <c r="C231" s="52" t="s">
        <v>683</v>
      </c>
      <c r="D231" s="53"/>
    </row>
    <row r="232">
      <c r="B232" s="51" t="s">
        <v>610</v>
      </c>
      <c r="C232" s="52" t="s">
        <v>683</v>
      </c>
      <c r="D232" s="53"/>
    </row>
    <row r="233">
      <c r="B233" s="54" t="s">
        <v>610</v>
      </c>
      <c r="C233" s="52" t="s">
        <v>686</v>
      </c>
      <c r="D233" s="53"/>
    </row>
    <row r="234">
      <c r="B234" s="54" t="s">
        <v>610</v>
      </c>
      <c r="C234" s="52" t="s">
        <v>686</v>
      </c>
      <c r="D234" s="53"/>
    </row>
    <row r="235">
      <c r="B235" s="54" t="s">
        <v>610</v>
      </c>
      <c r="C235" s="52" t="s">
        <v>688</v>
      </c>
      <c r="D235" s="53"/>
    </row>
    <row r="236">
      <c r="B236" s="54" t="s">
        <v>610</v>
      </c>
      <c r="C236" s="52" t="s">
        <v>688</v>
      </c>
      <c r="D236" s="53"/>
    </row>
    <row r="237">
      <c r="B237" s="54" t="s">
        <v>610</v>
      </c>
      <c r="C237" s="52" t="s">
        <v>688</v>
      </c>
      <c r="D237" s="53"/>
    </row>
    <row r="238">
      <c r="B238" s="51" t="s">
        <v>607</v>
      </c>
      <c r="C238" s="52" t="s">
        <v>689</v>
      </c>
      <c r="D238" s="53"/>
    </row>
    <row r="239">
      <c r="B239" s="54" t="s">
        <v>607</v>
      </c>
      <c r="C239" s="52" t="s">
        <v>689</v>
      </c>
      <c r="D239" s="53"/>
    </row>
    <row r="240">
      <c r="B240" s="54" t="s">
        <v>607</v>
      </c>
      <c r="C240" s="52" t="s">
        <v>689</v>
      </c>
      <c r="D240" s="53"/>
    </row>
    <row r="241">
      <c r="B241" s="54" t="s">
        <v>607</v>
      </c>
      <c r="C241" s="52" t="s">
        <v>692</v>
      </c>
      <c r="D241" s="53"/>
    </row>
    <row r="242">
      <c r="B242" s="54" t="s">
        <v>607</v>
      </c>
      <c r="C242" s="52" t="s">
        <v>697</v>
      </c>
      <c r="D242" s="53"/>
    </row>
    <row r="243">
      <c r="B243" s="54" t="s">
        <v>607</v>
      </c>
      <c r="C243" s="52" t="s">
        <v>697</v>
      </c>
      <c r="D243" s="53"/>
    </row>
    <row r="244">
      <c r="B244" s="51" t="s">
        <v>603</v>
      </c>
      <c r="C244" s="52" t="s">
        <v>699</v>
      </c>
      <c r="D244" s="53"/>
    </row>
    <row r="245">
      <c r="B245" s="54" t="s">
        <v>603</v>
      </c>
      <c r="C245" s="52" t="s">
        <v>699</v>
      </c>
      <c r="D245" s="53"/>
    </row>
    <row r="246">
      <c r="B246" s="54" t="s">
        <v>603</v>
      </c>
      <c r="C246" s="52" t="s">
        <v>701</v>
      </c>
      <c r="D246" s="53"/>
    </row>
    <row r="247">
      <c r="B247" s="54" t="s">
        <v>603</v>
      </c>
      <c r="C247" s="52" t="s">
        <v>701</v>
      </c>
      <c r="D247" s="53"/>
    </row>
    <row r="248">
      <c r="B248" s="54" t="s">
        <v>603</v>
      </c>
      <c r="C248" s="52" t="s">
        <v>702</v>
      </c>
      <c r="D248" s="53"/>
    </row>
    <row r="249">
      <c r="B249" s="54" t="s">
        <v>603</v>
      </c>
      <c r="C249" s="52" t="s">
        <v>702</v>
      </c>
      <c r="D249" s="53"/>
    </row>
    <row r="250">
      <c r="B250" s="51" t="s">
        <v>598</v>
      </c>
      <c r="C250" s="52" t="s">
        <v>706</v>
      </c>
      <c r="D250" s="53"/>
    </row>
    <row r="251">
      <c r="B251" s="54" t="s">
        <v>598</v>
      </c>
      <c r="C251" s="52" t="s">
        <v>706</v>
      </c>
      <c r="D251" s="53"/>
    </row>
    <row r="252">
      <c r="B252" s="54" t="s">
        <v>598</v>
      </c>
      <c r="C252" s="52" t="s">
        <v>706</v>
      </c>
      <c r="D252" s="53"/>
    </row>
    <row r="253">
      <c r="B253" s="54" t="s">
        <v>598</v>
      </c>
      <c r="C253" s="52" t="s">
        <v>709</v>
      </c>
      <c r="D253" s="53"/>
    </row>
    <row r="254">
      <c r="B254" s="54" t="s">
        <v>598</v>
      </c>
      <c r="C254" s="52" t="s">
        <v>709</v>
      </c>
      <c r="D254" s="53"/>
    </row>
    <row r="255">
      <c r="B255" s="54" t="s">
        <v>598</v>
      </c>
      <c r="C255" s="52" t="s">
        <v>712</v>
      </c>
      <c r="D255" s="53"/>
    </row>
    <row r="256">
      <c r="B256" s="51" t="s">
        <v>597</v>
      </c>
      <c r="C256" s="52" t="s">
        <v>712</v>
      </c>
      <c r="D256" s="53"/>
    </row>
    <row r="257">
      <c r="B257" s="54" t="s">
        <v>597</v>
      </c>
      <c r="C257" s="52" t="s">
        <v>712</v>
      </c>
      <c r="D257" s="53"/>
    </row>
    <row r="258">
      <c r="B258" s="54" t="s">
        <v>597</v>
      </c>
      <c r="C258" s="52" t="s">
        <v>715</v>
      </c>
      <c r="D258" s="53"/>
    </row>
    <row r="259">
      <c r="B259" s="54" t="s">
        <v>597</v>
      </c>
      <c r="C259" s="52" t="s">
        <v>715</v>
      </c>
      <c r="D259" s="53"/>
    </row>
    <row r="260">
      <c r="B260" s="54" t="s">
        <v>597</v>
      </c>
      <c r="C260" s="52" t="s">
        <v>715</v>
      </c>
      <c r="D260" s="53"/>
    </row>
    <row r="261">
      <c r="B261" s="54" t="s">
        <v>597</v>
      </c>
      <c r="C261" s="52" t="s">
        <v>718</v>
      </c>
      <c r="D261" s="53"/>
    </row>
    <row r="262">
      <c r="B262" s="51" t="s">
        <v>593</v>
      </c>
      <c r="C262" s="52" t="s">
        <v>718</v>
      </c>
      <c r="D262" s="53"/>
    </row>
    <row r="263">
      <c r="B263" s="54" t="s">
        <v>593</v>
      </c>
      <c r="C263" s="52" t="s">
        <v>719</v>
      </c>
      <c r="D263" s="53"/>
    </row>
    <row r="264">
      <c r="B264" s="54" t="s">
        <v>593</v>
      </c>
      <c r="C264" s="52" t="s">
        <v>720</v>
      </c>
      <c r="D264" s="53"/>
    </row>
    <row r="265">
      <c r="B265" s="54" t="s">
        <v>593</v>
      </c>
      <c r="C265" s="52" t="s">
        <v>720</v>
      </c>
      <c r="D265" s="53"/>
    </row>
    <row r="266">
      <c r="B266" s="54" t="s">
        <v>593</v>
      </c>
      <c r="C266" s="52" t="s">
        <v>723</v>
      </c>
      <c r="D266" s="53"/>
    </row>
    <row r="267">
      <c r="B267" s="54" t="s">
        <v>593</v>
      </c>
      <c r="C267" s="52" t="s">
        <v>723</v>
      </c>
      <c r="D267" s="53"/>
    </row>
    <row r="268">
      <c r="B268" s="51" t="s">
        <v>588</v>
      </c>
      <c r="C268" s="52" t="s">
        <v>723</v>
      </c>
      <c r="D268" s="53"/>
    </row>
    <row r="269">
      <c r="B269" s="54" t="s">
        <v>588</v>
      </c>
      <c r="C269" s="52" t="s">
        <v>724</v>
      </c>
      <c r="D269" s="53"/>
    </row>
    <row r="270">
      <c r="B270" s="54" t="s">
        <v>588</v>
      </c>
      <c r="C270" s="52" t="s">
        <v>724</v>
      </c>
      <c r="D270" s="53"/>
    </row>
    <row r="271">
      <c r="B271" s="54" t="s">
        <v>588</v>
      </c>
      <c r="C271" s="52" t="s">
        <v>725</v>
      </c>
      <c r="D271" s="53"/>
    </row>
    <row r="272">
      <c r="B272" s="54" t="s">
        <v>588</v>
      </c>
      <c r="C272" s="52" t="s">
        <v>725</v>
      </c>
      <c r="D272" s="53"/>
    </row>
    <row r="273">
      <c r="B273" s="54" t="s">
        <v>588</v>
      </c>
      <c r="C273" s="52" t="s">
        <v>725</v>
      </c>
      <c r="D273" s="53"/>
    </row>
    <row r="274">
      <c r="B274" s="51" t="s">
        <v>585</v>
      </c>
      <c r="C274" s="52" t="s">
        <v>728</v>
      </c>
      <c r="D274" s="53"/>
    </row>
    <row r="275">
      <c r="B275" s="54" t="s">
        <v>585</v>
      </c>
      <c r="C275" s="52" t="s">
        <v>728</v>
      </c>
      <c r="D275" s="53"/>
    </row>
    <row r="276">
      <c r="B276" s="54" t="s">
        <v>585</v>
      </c>
      <c r="C276" s="52" t="s">
        <v>729</v>
      </c>
      <c r="D276" s="53"/>
    </row>
    <row r="277">
      <c r="B277" s="54" t="s">
        <v>585</v>
      </c>
      <c r="C277" s="52" t="s">
        <v>729</v>
      </c>
      <c r="D277" s="53"/>
    </row>
    <row r="278">
      <c r="B278" s="54" t="s">
        <v>585</v>
      </c>
      <c r="C278" s="52" t="s">
        <v>731</v>
      </c>
      <c r="D278" s="53"/>
    </row>
    <row r="279">
      <c r="B279" s="54" t="s">
        <v>585</v>
      </c>
      <c r="C279" s="52" t="s">
        <v>731</v>
      </c>
      <c r="D279" s="53"/>
    </row>
    <row r="280">
      <c r="B280" s="51" t="s">
        <v>577</v>
      </c>
      <c r="C280" s="52" t="s">
        <v>731</v>
      </c>
      <c r="D280" s="53"/>
    </row>
    <row r="281">
      <c r="B281" s="54" t="s">
        <v>577</v>
      </c>
      <c r="C281" s="52" t="s">
        <v>731</v>
      </c>
      <c r="D281" s="53"/>
    </row>
    <row r="282">
      <c r="B282" s="54" t="s">
        <v>577</v>
      </c>
      <c r="C282" s="52" t="s">
        <v>731</v>
      </c>
      <c r="D282" s="53"/>
    </row>
    <row r="283">
      <c r="B283" s="54" t="s">
        <v>577</v>
      </c>
      <c r="C283" s="52" t="s">
        <v>731</v>
      </c>
      <c r="D283" s="53"/>
    </row>
    <row r="284">
      <c r="B284" s="54" t="s">
        <v>577</v>
      </c>
      <c r="C284" s="52" t="s">
        <v>731</v>
      </c>
      <c r="D284" s="53"/>
    </row>
    <row r="285">
      <c r="B285" s="54" t="s">
        <v>577</v>
      </c>
      <c r="C285" s="52" t="s">
        <v>731</v>
      </c>
      <c r="D285" s="53"/>
    </row>
    <row r="286">
      <c r="B286" s="51" t="s">
        <v>573</v>
      </c>
      <c r="C286" s="52" t="s">
        <v>731</v>
      </c>
      <c r="D286" s="53"/>
    </row>
    <row r="287">
      <c r="B287" s="54" t="s">
        <v>573</v>
      </c>
      <c r="C287" s="52" t="s">
        <v>731</v>
      </c>
      <c r="D287" s="53"/>
    </row>
    <row r="288">
      <c r="B288" s="54" t="s">
        <v>573</v>
      </c>
      <c r="C288" s="52" t="s">
        <v>745</v>
      </c>
      <c r="D288" s="53"/>
    </row>
    <row r="289">
      <c r="B289" s="54" t="s">
        <v>573</v>
      </c>
      <c r="C289" s="52" t="s">
        <v>745</v>
      </c>
      <c r="D289" s="53"/>
    </row>
    <row r="290">
      <c r="B290" s="54" t="s">
        <v>573</v>
      </c>
      <c r="C290" s="52" t="s">
        <v>748</v>
      </c>
      <c r="D290" s="53"/>
    </row>
    <row r="291">
      <c r="B291" s="54" t="s">
        <v>573</v>
      </c>
      <c r="C291" s="52" t="s">
        <v>748</v>
      </c>
      <c r="D291" s="53"/>
    </row>
    <row r="292">
      <c r="B292" s="51" t="s">
        <v>571</v>
      </c>
      <c r="C292" s="52" t="s">
        <v>752</v>
      </c>
      <c r="D292" s="53"/>
    </row>
    <row r="293">
      <c r="B293" s="54" t="s">
        <v>571</v>
      </c>
      <c r="C293" s="52" t="s">
        <v>754</v>
      </c>
      <c r="D293" s="53"/>
    </row>
    <row r="294">
      <c r="B294" s="54" t="s">
        <v>571</v>
      </c>
      <c r="C294" s="52" t="s">
        <v>754</v>
      </c>
      <c r="D294" s="53"/>
    </row>
    <row r="295">
      <c r="B295" s="54" t="s">
        <v>571</v>
      </c>
      <c r="C295" s="52" t="s">
        <v>754</v>
      </c>
      <c r="D295" s="53"/>
    </row>
    <row r="296">
      <c r="B296" s="54" t="s">
        <v>571</v>
      </c>
      <c r="C296" s="52" t="s">
        <v>754</v>
      </c>
      <c r="D296" s="53"/>
    </row>
    <row r="297">
      <c r="B297" s="54" t="s">
        <v>571</v>
      </c>
      <c r="C297" s="52" t="s">
        <v>754</v>
      </c>
      <c r="D297" s="53"/>
    </row>
    <row r="298">
      <c r="B298" s="51" t="s">
        <v>569</v>
      </c>
      <c r="C298" s="52" t="s">
        <v>758</v>
      </c>
      <c r="D298" s="53"/>
    </row>
    <row r="299">
      <c r="B299" s="54" t="s">
        <v>569</v>
      </c>
      <c r="C299" s="52" t="s">
        <v>758</v>
      </c>
      <c r="D299" s="53"/>
    </row>
    <row r="300">
      <c r="B300" s="54" t="s">
        <v>569</v>
      </c>
      <c r="C300" s="52" t="s">
        <v>758</v>
      </c>
      <c r="D300" s="53"/>
    </row>
    <row r="301">
      <c r="B301" s="54" t="s">
        <v>569</v>
      </c>
      <c r="C301" s="52" t="s">
        <v>758</v>
      </c>
      <c r="D301" s="53"/>
    </row>
    <row r="302">
      <c r="B302" s="54" t="s">
        <v>569</v>
      </c>
      <c r="C302" s="52" t="s">
        <v>763</v>
      </c>
      <c r="D302" s="53"/>
    </row>
    <row r="303">
      <c r="B303" s="54" t="s">
        <v>569</v>
      </c>
      <c r="C303" s="52" t="s">
        <v>763</v>
      </c>
      <c r="D303" s="53"/>
    </row>
    <row r="304">
      <c r="B304" s="51" t="s">
        <v>564</v>
      </c>
      <c r="C304" s="52" t="s">
        <v>763</v>
      </c>
      <c r="D304" s="53"/>
    </row>
    <row r="305">
      <c r="B305" s="54" t="s">
        <v>564</v>
      </c>
      <c r="C305" s="52" t="s">
        <v>764</v>
      </c>
      <c r="D305" s="53"/>
    </row>
    <row r="306">
      <c r="B306" s="54" t="s">
        <v>564</v>
      </c>
      <c r="C306" s="52" t="s">
        <v>764</v>
      </c>
      <c r="D306" s="53"/>
    </row>
    <row r="307">
      <c r="B307" s="54" t="s">
        <v>564</v>
      </c>
      <c r="C307" s="52" t="s">
        <v>767</v>
      </c>
      <c r="D307" s="53"/>
    </row>
    <row r="308">
      <c r="B308" s="54" t="s">
        <v>564</v>
      </c>
      <c r="C308" s="52" t="s">
        <v>769</v>
      </c>
      <c r="D308" s="53"/>
    </row>
    <row r="309">
      <c r="B309" s="54" t="s">
        <v>564</v>
      </c>
      <c r="C309" s="52" t="s">
        <v>769</v>
      </c>
      <c r="D309" s="53"/>
    </row>
    <row r="310">
      <c r="B310" s="51" t="s">
        <v>560</v>
      </c>
      <c r="C310" s="52" t="s">
        <v>772</v>
      </c>
      <c r="D310" s="53"/>
    </row>
    <row r="311">
      <c r="B311" s="54" t="s">
        <v>560</v>
      </c>
      <c r="C311" s="52" t="s">
        <v>772</v>
      </c>
      <c r="D311" s="53"/>
    </row>
    <row r="312">
      <c r="B312" s="54" t="s">
        <v>560</v>
      </c>
      <c r="C312" s="52" t="s">
        <v>772</v>
      </c>
      <c r="D312" s="53"/>
    </row>
    <row r="313">
      <c r="B313" s="54" t="s">
        <v>560</v>
      </c>
      <c r="C313" s="52" t="s">
        <v>773</v>
      </c>
      <c r="D313" s="53"/>
    </row>
    <row r="314">
      <c r="B314" s="54" t="s">
        <v>560</v>
      </c>
      <c r="C314" s="52" t="s">
        <v>773</v>
      </c>
      <c r="D314" s="53"/>
    </row>
    <row r="315">
      <c r="B315" s="54" t="s">
        <v>560</v>
      </c>
      <c r="C315" s="52" t="s">
        <v>773</v>
      </c>
      <c r="D315" s="53"/>
    </row>
    <row r="316">
      <c r="B316" s="51" t="s">
        <v>912</v>
      </c>
      <c r="C316" s="52" t="s">
        <v>777</v>
      </c>
      <c r="D316" s="53"/>
    </row>
    <row r="317">
      <c r="B317" s="54" t="s">
        <v>912</v>
      </c>
      <c r="C317" s="52" t="s">
        <v>777</v>
      </c>
      <c r="D317" s="53"/>
    </row>
    <row r="318">
      <c r="B318" s="54" t="s">
        <v>912</v>
      </c>
      <c r="C318" s="52" t="s">
        <v>777</v>
      </c>
      <c r="D318" s="53"/>
    </row>
    <row r="319">
      <c r="B319" s="54" t="s">
        <v>912</v>
      </c>
      <c r="C319" s="52" t="s">
        <v>780</v>
      </c>
      <c r="D319" s="53"/>
    </row>
    <row r="320">
      <c r="B320" s="54" t="s">
        <v>912</v>
      </c>
      <c r="C320" s="52" t="s">
        <v>780</v>
      </c>
      <c r="D320" s="53"/>
    </row>
    <row r="321">
      <c r="B321" s="54" t="s">
        <v>912</v>
      </c>
      <c r="C321" s="52" t="s">
        <v>780</v>
      </c>
      <c r="D321" s="53"/>
    </row>
    <row r="322">
      <c r="B322" s="51" t="s">
        <v>557</v>
      </c>
      <c r="C322" s="52" t="s">
        <v>780</v>
      </c>
      <c r="D322" s="53"/>
    </row>
    <row r="323">
      <c r="B323" s="54" t="s">
        <v>557</v>
      </c>
      <c r="C323" s="52" t="s">
        <v>780</v>
      </c>
      <c r="D323" s="53"/>
    </row>
    <row r="324">
      <c r="B324" s="54" t="s">
        <v>557</v>
      </c>
      <c r="C324" s="52" t="s">
        <v>780</v>
      </c>
      <c r="D324" s="53"/>
    </row>
    <row r="325">
      <c r="B325" s="54" t="s">
        <v>557</v>
      </c>
      <c r="C325" s="52" t="s">
        <v>782</v>
      </c>
      <c r="D325" s="53"/>
    </row>
    <row r="326">
      <c r="B326" s="54" t="s">
        <v>557</v>
      </c>
      <c r="C326" s="52" t="s">
        <v>782</v>
      </c>
      <c r="D326" s="53"/>
    </row>
    <row r="327">
      <c r="B327" s="54" t="s">
        <v>557</v>
      </c>
      <c r="C327" s="52" t="s">
        <v>785</v>
      </c>
      <c r="D327" s="53"/>
    </row>
    <row r="328">
      <c r="B328" s="51" t="s">
        <v>556</v>
      </c>
      <c r="C328" s="52" t="s">
        <v>785</v>
      </c>
      <c r="D328" s="53"/>
    </row>
    <row r="329">
      <c r="B329" s="54" t="s">
        <v>556</v>
      </c>
      <c r="C329" s="52" t="s">
        <v>785</v>
      </c>
      <c r="D329" s="53"/>
    </row>
    <row r="330">
      <c r="B330" s="54" t="s">
        <v>556</v>
      </c>
      <c r="C330" s="52" t="s">
        <v>785</v>
      </c>
      <c r="D330" s="53"/>
    </row>
    <row r="331">
      <c r="B331" s="54" t="s">
        <v>556</v>
      </c>
      <c r="C331" s="52" t="s">
        <v>790</v>
      </c>
      <c r="D331" s="53"/>
    </row>
    <row r="332">
      <c r="B332" s="54" t="s">
        <v>556</v>
      </c>
      <c r="C332" s="52" t="s">
        <v>790</v>
      </c>
      <c r="D332" s="53"/>
    </row>
    <row r="333">
      <c r="B333" s="54" t="s">
        <v>556</v>
      </c>
      <c r="C333" s="52" t="s">
        <v>790</v>
      </c>
      <c r="D333" s="53"/>
    </row>
    <row r="334">
      <c r="B334" s="51" t="s">
        <v>551</v>
      </c>
      <c r="C334" s="52" t="s">
        <v>794</v>
      </c>
      <c r="D334" s="53"/>
    </row>
    <row r="335">
      <c r="B335" s="54" t="s">
        <v>551</v>
      </c>
      <c r="C335" s="52" t="s">
        <v>794</v>
      </c>
      <c r="D335" s="53"/>
    </row>
    <row r="336">
      <c r="B336" s="54" t="s">
        <v>551</v>
      </c>
      <c r="C336" s="52" t="s">
        <v>794</v>
      </c>
      <c r="D336" s="53"/>
    </row>
    <row r="337">
      <c r="B337" s="54" t="s">
        <v>551</v>
      </c>
      <c r="C337" s="52" t="s">
        <v>797</v>
      </c>
      <c r="D337" s="53"/>
    </row>
    <row r="338">
      <c r="B338" s="54" t="s">
        <v>551</v>
      </c>
      <c r="C338" s="52" t="s">
        <v>797</v>
      </c>
      <c r="D338" s="53"/>
    </row>
    <row r="339">
      <c r="B339" s="54" t="s">
        <v>551</v>
      </c>
      <c r="C339" s="52" t="s">
        <v>797</v>
      </c>
      <c r="D339" s="53"/>
    </row>
    <row r="340">
      <c r="B340" s="51" t="s">
        <v>545</v>
      </c>
      <c r="C340" s="52" t="s">
        <v>802</v>
      </c>
      <c r="D340" s="53"/>
    </row>
    <row r="341">
      <c r="B341" s="54" t="s">
        <v>545</v>
      </c>
      <c r="C341" s="52" t="s">
        <v>802</v>
      </c>
      <c r="D341" s="53"/>
    </row>
    <row r="342">
      <c r="B342" s="54" t="s">
        <v>545</v>
      </c>
      <c r="C342" s="52" t="s">
        <v>805</v>
      </c>
      <c r="D342" s="53"/>
    </row>
    <row r="343">
      <c r="B343" s="54" t="s">
        <v>545</v>
      </c>
      <c r="C343" s="52" t="s">
        <v>805</v>
      </c>
      <c r="D343" s="53"/>
    </row>
    <row r="344">
      <c r="B344" s="54" t="s">
        <v>545</v>
      </c>
      <c r="C344" s="52" t="s">
        <v>805</v>
      </c>
      <c r="D344" s="53"/>
    </row>
    <row r="345">
      <c r="B345" s="54" t="s">
        <v>545</v>
      </c>
      <c r="C345" s="52" t="s">
        <v>805</v>
      </c>
      <c r="D345" s="53"/>
    </row>
    <row r="346">
      <c r="B346" s="51" t="s">
        <v>533</v>
      </c>
      <c r="C346" s="52" t="s">
        <v>805</v>
      </c>
      <c r="D346" s="53"/>
    </row>
    <row r="347">
      <c r="B347" s="54" t="s">
        <v>533</v>
      </c>
      <c r="C347" s="52" t="s">
        <v>811</v>
      </c>
      <c r="D347" s="53"/>
    </row>
    <row r="348">
      <c r="B348" s="54" t="s">
        <v>533</v>
      </c>
      <c r="C348" s="52" t="s">
        <v>811</v>
      </c>
      <c r="D348" s="53"/>
    </row>
    <row r="349">
      <c r="B349" s="54" t="s">
        <v>533</v>
      </c>
      <c r="C349" s="52" t="s">
        <v>814</v>
      </c>
      <c r="D349" s="53"/>
    </row>
    <row r="350">
      <c r="B350" s="54" t="s">
        <v>533</v>
      </c>
      <c r="C350" s="52" t="s">
        <v>814</v>
      </c>
      <c r="D350" s="53"/>
    </row>
    <row r="351">
      <c r="B351" s="54" t="s">
        <v>533</v>
      </c>
      <c r="C351" s="52" t="s">
        <v>817</v>
      </c>
      <c r="D351" s="53"/>
    </row>
    <row r="352">
      <c r="B352" s="51" t="s">
        <v>531</v>
      </c>
      <c r="C352" s="52" t="s">
        <v>817</v>
      </c>
      <c r="D352" s="53"/>
    </row>
    <row r="353">
      <c r="B353" s="54" t="s">
        <v>531</v>
      </c>
      <c r="C353" s="52" t="s">
        <v>819</v>
      </c>
      <c r="D353" s="53"/>
    </row>
    <row r="354">
      <c r="B354" s="54" t="s">
        <v>531</v>
      </c>
      <c r="C354" s="52" t="s">
        <v>819</v>
      </c>
      <c r="D354" s="53"/>
    </row>
    <row r="355">
      <c r="B355" s="54" t="s">
        <v>531</v>
      </c>
      <c r="C355" s="52" t="s">
        <v>819</v>
      </c>
      <c r="D355" s="53"/>
    </row>
    <row r="356">
      <c r="B356" s="54" t="s">
        <v>531</v>
      </c>
      <c r="C356" s="52" t="s">
        <v>822</v>
      </c>
      <c r="D356" s="53"/>
    </row>
    <row r="357">
      <c r="B357" s="54" t="s">
        <v>531</v>
      </c>
      <c r="C357" s="52" t="s">
        <v>824</v>
      </c>
      <c r="D357" s="53"/>
    </row>
    <row r="358">
      <c r="B358" s="51" t="s">
        <v>542</v>
      </c>
      <c r="C358" s="52" t="s">
        <v>824</v>
      </c>
      <c r="D358" s="53"/>
    </row>
    <row r="359">
      <c r="B359" s="54" t="s">
        <v>542</v>
      </c>
      <c r="C359" s="52" t="s">
        <v>824</v>
      </c>
      <c r="D359" s="53"/>
    </row>
    <row r="360">
      <c r="B360" s="54" t="s">
        <v>542</v>
      </c>
      <c r="C360" s="52" t="s">
        <v>824</v>
      </c>
      <c r="D360" s="53"/>
    </row>
    <row r="361">
      <c r="B361" s="54" t="s">
        <v>542</v>
      </c>
      <c r="C361" s="52" t="s">
        <v>829</v>
      </c>
      <c r="D361" s="53"/>
    </row>
    <row r="362">
      <c r="B362" s="54" t="s">
        <v>542</v>
      </c>
      <c r="C362" s="52" t="s">
        <v>831</v>
      </c>
      <c r="D362" s="53"/>
    </row>
    <row r="363">
      <c r="B363" s="54" t="s">
        <v>542</v>
      </c>
      <c r="C363" s="52" t="s">
        <v>831</v>
      </c>
      <c r="D363" s="53"/>
    </row>
    <row r="364">
      <c r="B364" s="51" t="s">
        <v>612</v>
      </c>
      <c r="C364" s="52" t="s">
        <v>831</v>
      </c>
      <c r="D364" s="53"/>
    </row>
    <row r="365">
      <c r="B365" s="54" t="s">
        <v>612</v>
      </c>
      <c r="C365" s="52" t="s">
        <v>835</v>
      </c>
      <c r="D365" s="53"/>
    </row>
    <row r="366">
      <c r="B366" s="54" t="s">
        <v>612</v>
      </c>
      <c r="C366" s="52" t="s">
        <v>836</v>
      </c>
      <c r="D366" s="53"/>
    </row>
    <row r="367">
      <c r="B367" s="54" t="s">
        <v>612</v>
      </c>
      <c r="C367" s="52" t="s">
        <v>836</v>
      </c>
      <c r="D367" s="53"/>
    </row>
    <row r="368">
      <c r="B368" s="54" t="s">
        <v>612</v>
      </c>
      <c r="C368" s="52" t="s">
        <v>839</v>
      </c>
      <c r="D368" s="53"/>
    </row>
    <row r="369">
      <c r="B369" s="54" t="s">
        <v>612</v>
      </c>
      <c r="C369" s="52" t="s">
        <v>839</v>
      </c>
      <c r="D369" s="53"/>
    </row>
    <row r="370">
      <c r="B370" s="51" t="s">
        <v>615</v>
      </c>
      <c r="C370" s="52" t="s">
        <v>839</v>
      </c>
      <c r="D370" s="53"/>
    </row>
    <row r="371">
      <c r="B371" s="54" t="s">
        <v>615</v>
      </c>
      <c r="C371" s="52" t="s">
        <v>839</v>
      </c>
      <c r="D371" s="53"/>
    </row>
    <row r="372">
      <c r="B372" s="54" t="s">
        <v>615</v>
      </c>
      <c r="C372" s="52" t="s">
        <v>839</v>
      </c>
      <c r="D372" s="53"/>
    </row>
    <row r="373">
      <c r="B373" s="54" t="s">
        <v>615</v>
      </c>
      <c r="C373" s="52" t="s">
        <v>839</v>
      </c>
      <c r="D373" s="53"/>
    </row>
    <row r="374">
      <c r="B374" s="54" t="s">
        <v>615</v>
      </c>
      <c r="C374" s="52" t="s">
        <v>846</v>
      </c>
      <c r="D374" s="53"/>
    </row>
    <row r="375">
      <c r="B375" s="54" t="s">
        <v>615</v>
      </c>
      <c r="C375" s="52" t="s">
        <v>850</v>
      </c>
      <c r="D375" s="53"/>
    </row>
    <row r="376">
      <c r="B376" s="51" t="s">
        <v>619</v>
      </c>
      <c r="C376" s="52" t="s">
        <v>852</v>
      </c>
      <c r="D376" s="53"/>
    </row>
    <row r="377">
      <c r="B377" s="54" t="s">
        <v>619</v>
      </c>
      <c r="C377" s="52" t="s">
        <v>855</v>
      </c>
      <c r="D377" s="53"/>
    </row>
    <row r="378">
      <c r="B378" s="54" t="s">
        <v>619</v>
      </c>
      <c r="C378" s="52" t="s">
        <v>857</v>
      </c>
      <c r="D378" s="53"/>
    </row>
    <row r="379">
      <c r="B379" s="54" t="s">
        <v>619</v>
      </c>
      <c r="C379" s="52" t="s">
        <v>858</v>
      </c>
      <c r="D379" s="53"/>
    </row>
    <row r="380">
      <c r="B380" s="54" t="s">
        <v>619</v>
      </c>
      <c r="C380" s="52" t="s">
        <v>858</v>
      </c>
      <c r="D380" s="53"/>
    </row>
    <row r="381">
      <c r="B381" s="54" t="s">
        <v>619</v>
      </c>
      <c r="C381" s="52" t="s">
        <v>858</v>
      </c>
      <c r="D381" s="53"/>
    </row>
    <row r="382">
      <c r="B382" s="51" t="s">
        <v>623</v>
      </c>
      <c r="C382" s="52" t="s">
        <v>862</v>
      </c>
      <c r="D382" s="53"/>
    </row>
    <row r="383">
      <c r="B383" s="54" t="s">
        <v>623</v>
      </c>
      <c r="C383" s="52" t="s">
        <v>865</v>
      </c>
      <c r="D383" s="53"/>
    </row>
    <row r="384">
      <c r="B384" s="54" t="s">
        <v>623</v>
      </c>
      <c r="C384" s="52" t="s">
        <v>866</v>
      </c>
      <c r="D384" s="53"/>
    </row>
    <row r="385">
      <c r="B385" s="54" t="s">
        <v>623</v>
      </c>
      <c r="C385" s="52" t="s">
        <v>867</v>
      </c>
      <c r="D385" s="53"/>
    </row>
    <row r="386">
      <c r="B386" s="54" t="s">
        <v>623</v>
      </c>
      <c r="C386" s="52" t="s">
        <v>869</v>
      </c>
      <c r="D386" s="53"/>
    </row>
    <row r="387">
      <c r="B387" s="54" t="s">
        <v>623</v>
      </c>
      <c r="C387" s="52" t="s">
        <v>869</v>
      </c>
      <c r="D387" s="53"/>
    </row>
    <row r="388">
      <c r="B388" s="51" t="s">
        <v>625</v>
      </c>
      <c r="C388" s="52" t="s">
        <v>869</v>
      </c>
      <c r="D388" s="53"/>
    </row>
    <row r="389">
      <c r="B389" s="54" t="s">
        <v>625</v>
      </c>
      <c r="C389" s="52" t="s">
        <v>869</v>
      </c>
      <c r="D389" s="53"/>
    </row>
    <row r="390">
      <c r="B390" s="54" t="s">
        <v>625</v>
      </c>
      <c r="C390" s="52" t="s">
        <v>875</v>
      </c>
      <c r="D390" s="53"/>
    </row>
    <row r="391">
      <c r="B391" s="54" t="s">
        <v>625</v>
      </c>
      <c r="C391" s="52" t="s">
        <v>875</v>
      </c>
      <c r="D391" s="53"/>
    </row>
    <row r="392">
      <c r="B392" s="54" t="s">
        <v>625</v>
      </c>
      <c r="C392" s="52" t="s">
        <v>875</v>
      </c>
      <c r="D392" s="53"/>
    </row>
    <row r="393">
      <c r="B393" s="54" t="s">
        <v>625</v>
      </c>
      <c r="C393" s="52" t="s">
        <v>875</v>
      </c>
      <c r="D393" s="53"/>
    </row>
    <row r="394">
      <c r="B394" s="51" t="s">
        <v>631</v>
      </c>
      <c r="C394" s="52" t="s">
        <v>875</v>
      </c>
      <c r="D394" s="53"/>
    </row>
    <row r="395">
      <c r="B395" s="54" t="s">
        <v>631</v>
      </c>
      <c r="C395" s="52" t="s">
        <v>878</v>
      </c>
      <c r="D395" s="53"/>
    </row>
    <row r="396">
      <c r="B396" s="54" t="s">
        <v>631</v>
      </c>
      <c r="C396" s="52" t="s">
        <v>878</v>
      </c>
      <c r="D396" s="53"/>
    </row>
    <row r="397">
      <c r="B397" s="54" t="s">
        <v>631</v>
      </c>
      <c r="C397" s="52" t="s">
        <v>880</v>
      </c>
      <c r="D397" s="53"/>
    </row>
    <row r="398">
      <c r="B398" s="54" t="s">
        <v>631</v>
      </c>
      <c r="C398" s="52" t="s">
        <v>880</v>
      </c>
      <c r="D398" s="53"/>
    </row>
    <row r="399">
      <c r="B399" s="54" t="s">
        <v>631</v>
      </c>
      <c r="C399" s="52" t="s">
        <v>867</v>
      </c>
      <c r="D399" s="53"/>
    </row>
    <row r="400">
      <c r="B400" s="51" t="s">
        <v>633</v>
      </c>
      <c r="C400" s="52" t="s">
        <v>867</v>
      </c>
      <c r="D400" s="53"/>
    </row>
    <row r="401">
      <c r="B401" s="54" t="s">
        <v>633</v>
      </c>
      <c r="C401" s="52" t="s">
        <v>885</v>
      </c>
      <c r="D401" s="53"/>
    </row>
    <row r="402">
      <c r="B402" s="54" t="s">
        <v>633</v>
      </c>
      <c r="C402" s="52" t="s">
        <v>885</v>
      </c>
      <c r="D402" s="53"/>
    </row>
    <row r="403">
      <c r="B403" s="54" t="s">
        <v>633</v>
      </c>
      <c r="C403" s="52" t="s">
        <v>887</v>
      </c>
      <c r="D403" s="53"/>
    </row>
    <row r="404">
      <c r="B404" s="54" t="s">
        <v>633</v>
      </c>
      <c r="C404" s="52" t="s">
        <v>887</v>
      </c>
      <c r="D404" s="53"/>
    </row>
    <row r="405">
      <c r="B405" s="54" t="s">
        <v>633</v>
      </c>
      <c r="C405" s="52" t="s">
        <v>887</v>
      </c>
      <c r="D405" s="53"/>
    </row>
    <row r="406">
      <c r="B406" s="51" t="s">
        <v>640</v>
      </c>
      <c r="C406" s="52" t="s">
        <v>890</v>
      </c>
      <c r="D406" s="53"/>
    </row>
    <row r="407">
      <c r="B407" s="54" t="s">
        <v>640</v>
      </c>
      <c r="C407" s="52" t="s">
        <v>890</v>
      </c>
      <c r="D407" s="53"/>
    </row>
    <row r="408">
      <c r="B408" s="54" t="s">
        <v>640</v>
      </c>
      <c r="C408" s="52" t="s">
        <v>890</v>
      </c>
      <c r="D408" s="53"/>
    </row>
    <row r="409">
      <c r="B409" s="54" t="s">
        <v>640</v>
      </c>
      <c r="C409" s="52" t="s">
        <v>896</v>
      </c>
      <c r="D409" s="53"/>
    </row>
    <row r="410">
      <c r="B410" s="54" t="s">
        <v>640</v>
      </c>
      <c r="C410" s="52" t="s">
        <v>896</v>
      </c>
      <c r="D410" s="53"/>
    </row>
    <row r="411">
      <c r="B411" s="54" t="s">
        <v>640</v>
      </c>
      <c r="C411" s="52" t="s">
        <v>896</v>
      </c>
      <c r="D411" s="53"/>
    </row>
    <row r="412">
      <c r="B412" s="51" t="s">
        <v>646</v>
      </c>
      <c r="C412" s="52" t="s">
        <v>896</v>
      </c>
      <c r="D412" s="53"/>
    </row>
    <row r="413">
      <c r="B413" s="54" t="s">
        <v>646</v>
      </c>
      <c r="C413" s="52" t="s">
        <v>901</v>
      </c>
      <c r="D413" s="53"/>
    </row>
    <row r="414">
      <c r="B414" s="54" t="s">
        <v>646</v>
      </c>
      <c r="C414" s="52" t="s">
        <v>901</v>
      </c>
      <c r="D414" s="53"/>
    </row>
    <row r="415">
      <c r="B415" s="54" t="s">
        <v>646</v>
      </c>
      <c r="C415" s="52" t="s">
        <v>901</v>
      </c>
      <c r="D415" s="53"/>
    </row>
    <row r="416">
      <c r="B416" s="54" t="s">
        <v>646</v>
      </c>
      <c r="C416" s="52" t="s">
        <v>905</v>
      </c>
      <c r="D416" s="53"/>
    </row>
    <row r="417">
      <c r="B417" s="54" t="s">
        <v>646</v>
      </c>
      <c r="C417" s="52" t="s">
        <v>905</v>
      </c>
      <c r="D417" s="53"/>
    </row>
    <row r="418">
      <c r="B418" s="51" t="s">
        <v>650</v>
      </c>
      <c r="C418" s="55"/>
      <c r="D418" s="53"/>
    </row>
    <row r="419">
      <c r="B419" s="54" t="s">
        <v>650</v>
      </c>
      <c r="C419" s="55"/>
      <c r="D419" s="53"/>
    </row>
    <row r="420">
      <c r="B420" s="54" t="s">
        <v>650</v>
      </c>
      <c r="C420" s="55"/>
      <c r="D420" s="53"/>
    </row>
    <row r="421">
      <c r="B421" s="54" t="s">
        <v>650</v>
      </c>
      <c r="C421" s="55"/>
      <c r="D421" s="53"/>
    </row>
    <row r="422">
      <c r="B422" s="54" t="s">
        <v>650</v>
      </c>
      <c r="C422" s="55"/>
      <c r="D422" s="53"/>
    </row>
    <row r="423">
      <c r="B423" s="54" t="s">
        <v>650</v>
      </c>
      <c r="C423" s="55"/>
      <c r="D423" s="53"/>
    </row>
    <row r="424">
      <c r="B424" s="51" t="s">
        <v>657</v>
      </c>
      <c r="C424" s="55"/>
      <c r="D424" s="53"/>
    </row>
    <row r="425">
      <c r="B425" s="54" t="s">
        <v>657</v>
      </c>
      <c r="C425" s="55"/>
      <c r="D425" s="53"/>
    </row>
    <row r="426">
      <c r="B426" s="54" t="s">
        <v>657</v>
      </c>
      <c r="C426" s="55"/>
      <c r="D426" s="53"/>
    </row>
    <row r="427">
      <c r="B427" s="54" t="s">
        <v>657</v>
      </c>
      <c r="C427" s="55"/>
      <c r="D427" s="53"/>
    </row>
    <row r="428">
      <c r="B428" s="54" t="s">
        <v>657</v>
      </c>
      <c r="C428" s="55"/>
      <c r="D428" s="53"/>
    </row>
    <row r="429">
      <c r="B429" s="54" t="s">
        <v>657</v>
      </c>
      <c r="C429" s="55"/>
      <c r="D429" s="53"/>
    </row>
    <row r="430">
      <c r="B430" s="51" t="s">
        <v>662</v>
      </c>
      <c r="C430" s="55"/>
      <c r="D430" s="53"/>
    </row>
    <row r="431">
      <c r="B431" s="54" t="s">
        <v>662</v>
      </c>
      <c r="C431" s="55"/>
      <c r="D431" s="53"/>
    </row>
    <row r="432">
      <c r="B432" s="54" t="s">
        <v>662</v>
      </c>
      <c r="C432" s="55"/>
      <c r="D432" s="53"/>
    </row>
    <row r="433">
      <c r="B433" s="54" t="s">
        <v>662</v>
      </c>
      <c r="C433" s="55"/>
      <c r="D433" s="53"/>
    </row>
    <row r="434">
      <c r="B434" s="54" t="s">
        <v>662</v>
      </c>
      <c r="C434" s="55"/>
      <c r="D434" s="53"/>
    </row>
    <row r="435">
      <c r="B435" s="54" t="s">
        <v>662</v>
      </c>
      <c r="C435" s="55"/>
      <c r="D435" s="53"/>
    </row>
    <row r="436">
      <c r="B436" s="51" t="s">
        <v>667</v>
      </c>
      <c r="C436" s="55"/>
      <c r="D436" s="53"/>
    </row>
    <row r="437">
      <c r="B437" s="54" t="s">
        <v>667</v>
      </c>
      <c r="C437" s="55"/>
      <c r="D437" s="53"/>
    </row>
    <row r="438">
      <c r="B438" s="54" t="s">
        <v>667</v>
      </c>
      <c r="C438" s="55"/>
      <c r="D438" s="53"/>
    </row>
    <row r="439">
      <c r="B439" s="54" t="s">
        <v>667</v>
      </c>
      <c r="C439" s="55"/>
      <c r="D439" s="53"/>
    </row>
    <row r="440">
      <c r="B440" s="54" t="s">
        <v>667</v>
      </c>
      <c r="C440" s="55"/>
      <c r="D440" s="53"/>
    </row>
    <row r="441">
      <c r="B441" s="54" t="s">
        <v>667</v>
      </c>
      <c r="C441" s="55"/>
      <c r="D441" s="53"/>
    </row>
    <row r="442">
      <c r="B442" s="51" t="s">
        <v>671</v>
      </c>
      <c r="C442" s="55"/>
      <c r="D442" s="53"/>
    </row>
    <row r="443">
      <c r="B443" s="54" t="s">
        <v>671</v>
      </c>
      <c r="C443" s="55"/>
      <c r="D443" s="53"/>
    </row>
    <row r="444">
      <c r="B444" s="54" t="s">
        <v>671</v>
      </c>
      <c r="C444" s="55"/>
      <c r="D444" s="53"/>
    </row>
    <row r="445">
      <c r="B445" s="54" t="s">
        <v>671</v>
      </c>
      <c r="C445" s="55"/>
      <c r="D445" s="53"/>
    </row>
    <row r="446">
      <c r="B446" s="54" t="s">
        <v>671</v>
      </c>
      <c r="C446" s="55"/>
      <c r="D446" s="53"/>
    </row>
    <row r="447">
      <c r="B447" s="54" t="s">
        <v>671</v>
      </c>
      <c r="C447" s="55"/>
      <c r="D447" s="53"/>
    </row>
    <row r="448">
      <c r="B448" s="51" t="s">
        <v>674</v>
      </c>
      <c r="C448" s="55"/>
      <c r="D448" s="53"/>
    </row>
    <row r="449">
      <c r="B449" s="54" t="s">
        <v>674</v>
      </c>
      <c r="C449" s="55"/>
      <c r="D449" s="53"/>
    </row>
    <row r="450">
      <c r="B450" s="54" t="s">
        <v>674</v>
      </c>
      <c r="C450" s="55"/>
      <c r="D450" s="53"/>
    </row>
    <row r="451">
      <c r="B451" s="54" t="s">
        <v>674</v>
      </c>
      <c r="C451" s="55"/>
      <c r="D451" s="53"/>
    </row>
    <row r="452">
      <c r="B452" s="54" t="s">
        <v>674</v>
      </c>
      <c r="C452" s="55"/>
      <c r="D452" s="53"/>
    </row>
    <row r="453">
      <c r="B453" s="54" t="s">
        <v>674</v>
      </c>
      <c r="C453" s="55"/>
      <c r="D453" s="53"/>
    </row>
    <row r="454">
      <c r="B454" s="51" t="s">
        <v>675</v>
      </c>
      <c r="C454" s="55"/>
      <c r="D454" s="53"/>
    </row>
    <row r="455">
      <c r="B455" s="54" t="s">
        <v>675</v>
      </c>
      <c r="C455" s="55"/>
      <c r="D455" s="53"/>
    </row>
    <row r="456">
      <c r="B456" s="54" t="s">
        <v>675</v>
      </c>
      <c r="C456" s="55"/>
      <c r="D456" s="53"/>
    </row>
    <row r="457">
      <c r="B457" s="54" t="s">
        <v>675</v>
      </c>
      <c r="C457" s="55"/>
      <c r="D457" s="53"/>
    </row>
    <row r="458">
      <c r="B458" s="54" t="s">
        <v>675</v>
      </c>
      <c r="C458" s="55"/>
      <c r="D458" s="53"/>
    </row>
    <row r="459">
      <c r="B459" s="54" t="s">
        <v>675</v>
      </c>
      <c r="C459" s="55"/>
      <c r="D459" s="53"/>
    </row>
    <row r="460">
      <c r="B460" s="51" t="s">
        <v>679</v>
      </c>
      <c r="C460" s="55"/>
      <c r="D460" s="53"/>
    </row>
    <row r="461">
      <c r="B461" s="54" t="s">
        <v>679</v>
      </c>
      <c r="C461" s="55"/>
      <c r="D461" s="53"/>
    </row>
    <row r="462">
      <c r="B462" s="54" t="s">
        <v>679</v>
      </c>
      <c r="C462" s="55"/>
      <c r="D462" s="53"/>
    </row>
    <row r="463">
      <c r="B463" s="54" t="s">
        <v>679</v>
      </c>
      <c r="C463" s="55"/>
      <c r="D463" s="53"/>
    </row>
    <row r="464">
      <c r="B464" s="54" t="s">
        <v>679</v>
      </c>
      <c r="D464" s="53"/>
    </row>
    <row r="465">
      <c r="B465" s="54" t="s">
        <v>679</v>
      </c>
      <c r="D465" s="53"/>
    </row>
    <row r="466">
      <c r="B466" s="51" t="s">
        <v>683</v>
      </c>
      <c r="D466" s="53"/>
    </row>
    <row r="467">
      <c r="B467" s="54" t="s">
        <v>683</v>
      </c>
      <c r="D467" s="53"/>
    </row>
    <row r="468">
      <c r="B468" s="54" t="s">
        <v>683</v>
      </c>
      <c r="D468" s="53"/>
    </row>
    <row r="469">
      <c r="B469" s="54" t="s">
        <v>683</v>
      </c>
      <c r="D469" s="53"/>
    </row>
    <row r="470">
      <c r="B470" s="54" t="s">
        <v>683</v>
      </c>
      <c r="D470" s="53"/>
    </row>
    <row r="471">
      <c r="B471" s="54" t="s">
        <v>683</v>
      </c>
      <c r="D471" s="53"/>
    </row>
    <row r="472">
      <c r="B472" s="51" t="s">
        <v>686</v>
      </c>
      <c r="D472" s="53"/>
    </row>
    <row r="473">
      <c r="B473" s="54" t="s">
        <v>686</v>
      </c>
      <c r="D473" s="53"/>
    </row>
    <row r="474">
      <c r="B474" s="54" t="s">
        <v>686</v>
      </c>
      <c r="D474" s="53"/>
    </row>
    <row r="475">
      <c r="B475" s="54" t="s">
        <v>686</v>
      </c>
      <c r="D475" s="53"/>
    </row>
    <row r="476">
      <c r="B476" s="54" t="s">
        <v>686</v>
      </c>
      <c r="D476" s="53"/>
    </row>
    <row r="477">
      <c r="B477" s="54" t="s">
        <v>686</v>
      </c>
      <c r="D477" s="53"/>
    </row>
    <row r="478">
      <c r="B478" s="51" t="s">
        <v>688</v>
      </c>
      <c r="D478" s="53"/>
    </row>
    <row r="479">
      <c r="B479" s="54" t="s">
        <v>688</v>
      </c>
      <c r="D479" s="53"/>
    </row>
    <row r="480">
      <c r="B480" s="54" t="s">
        <v>688</v>
      </c>
      <c r="D480" s="53"/>
    </row>
    <row r="481">
      <c r="B481" s="54" t="s">
        <v>688</v>
      </c>
      <c r="D481" s="53"/>
    </row>
    <row r="482">
      <c r="B482" s="54" t="s">
        <v>688</v>
      </c>
      <c r="D482" s="53"/>
    </row>
    <row r="483">
      <c r="B483" s="54" t="s">
        <v>688</v>
      </c>
      <c r="D483" s="53"/>
    </row>
    <row r="484">
      <c r="B484" s="51" t="s">
        <v>689</v>
      </c>
      <c r="D484" s="53"/>
    </row>
    <row r="485">
      <c r="B485" s="54" t="s">
        <v>689</v>
      </c>
      <c r="D485" s="53"/>
    </row>
    <row r="486">
      <c r="B486" s="54" t="s">
        <v>689</v>
      </c>
      <c r="D486" s="53"/>
    </row>
    <row r="487">
      <c r="B487" s="54" t="s">
        <v>689</v>
      </c>
      <c r="D487" s="53"/>
    </row>
    <row r="488">
      <c r="B488" s="54" t="s">
        <v>689</v>
      </c>
      <c r="D488" s="53"/>
    </row>
    <row r="489">
      <c r="B489" s="54" t="s">
        <v>689</v>
      </c>
      <c r="D489" s="53"/>
    </row>
    <row r="490">
      <c r="B490" s="51" t="s">
        <v>692</v>
      </c>
      <c r="D490" s="53"/>
    </row>
    <row r="491">
      <c r="B491" s="54" t="s">
        <v>692</v>
      </c>
      <c r="D491" s="53"/>
    </row>
    <row r="492">
      <c r="B492" s="54" t="s">
        <v>692</v>
      </c>
      <c r="D492" s="53"/>
    </row>
    <row r="493">
      <c r="B493" s="54" t="s">
        <v>692</v>
      </c>
      <c r="D493" s="53"/>
    </row>
    <row r="494">
      <c r="B494" s="54" t="s">
        <v>692</v>
      </c>
      <c r="D494" s="53"/>
    </row>
    <row r="495">
      <c r="B495" s="54" t="s">
        <v>692</v>
      </c>
      <c r="D495" s="53"/>
    </row>
    <row r="496">
      <c r="B496" s="51" t="s">
        <v>697</v>
      </c>
      <c r="D496" s="53"/>
    </row>
    <row r="497">
      <c r="B497" s="54" t="s">
        <v>697</v>
      </c>
      <c r="D497" s="53"/>
    </row>
    <row r="498">
      <c r="B498" s="54" t="s">
        <v>697</v>
      </c>
      <c r="D498" s="53"/>
    </row>
    <row r="499">
      <c r="B499" s="54" t="s">
        <v>697</v>
      </c>
      <c r="D499" s="53"/>
    </row>
    <row r="500">
      <c r="B500" s="54" t="s">
        <v>697</v>
      </c>
      <c r="D500" s="53"/>
    </row>
    <row r="501">
      <c r="B501" s="54" t="s">
        <v>697</v>
      </c>
      <c r="D501" s="53"/>
    </row>
    <row r="502">
      <c r="B502" s="51" t="s">
        <v>699</v>
      </c>
      <c r="D502" s="53"/>
    </row>
    <row r="503">
      <c r="B503" s="54" t="s">
        <v>699</v>
      </c>
      <c r="D503" s="53"/>
    </row>
    <row r="504">
      <c r="B504" s="54" t="s">
        <v>699</v>
      </c>
      <c r="D504" s="53"/>
    </row>
    <row r="505">
      <c r="B505" s="54" t="s">
        <v>699</v>
      </c>
      <c r="D505" s="53"/>
    </row>
    <row r="506">
      <c r="B506" s="54" t="s">
        <v>699</v>
      </c>
      <c r="D506" s="53"/>
    </row>
    <row r="507">
      <c r="B507" s="54" t="s">
        <v>699</v>
      </c>
      <c r="D507" s="53"/>
    </row>
    <row r="508">
      <c r="B508" s="51" t="s">
        <v>701</v>
      </c>
      <c r="D508" s="53"/>
    </row>
    <row r="509">
      <c r="B509" s="54" t="s">
        <v>701</v>
      </c>
      <c r="D509" s="53"/>
    </row>
    <row r="510">
      <c r="B510" s="54" t="s">
        <v>701</v>
      </c>
      <c r="D510" s="53"/>
    </row>
    <row r="511">
      <c r="B511" s="54" t="s">
        <v>701</v>
      </c>
      <c r="D511" s="53"/>
    </row>
    <row r="512">
      <c r="B512" s="54" t="s">
        <v>701</v>
      </c>
      <c r="D512" s="53"/>
    </row>
    <row r="513">
      <c r="B513" s="54" t="s">
        <v>701</v>
      </c>
      <c r="D513" s="53"/>
    </row>
    <row r="514">
      <c r="B514" s="51" t="s">
        <v>702</v>
      </c>
      <c r="D514" s="53"/>
    </row>
    <row r="515">
      <c r="B515" s="54" t="s">
        <v>702</v>
      </c>
      <c r="D515" s="53"/>
    </row>
    <row r="516">
      <c r="B516" s="54" t="s">
        <v>702</v>
      </c>
      <c r="D516" s="53"/>
    </row>
    <row r="517">
      <c r="B517" s="54" t="s">
        <v>702</v>
      </c>
      <c r="D517" s="53"/>
    </row>
    <row r="518">
      <c r="B518" s="54" t="s">
        <v>702</v>
      </c>
      <c r="D518" s="53"/>
    </row>
    <row r="519">
      <c r="B519" s="54" t="s">
        <v>702</v>
      </c>
      <c r="D519" s="53"/>
    </row>
    <row r="520">
      <c r="B520" s="51" t="s">
        <v>706</v>
      </c>
      <c r="D520" s="53"/>
    </row>
    <row r="521">
      <c r="B521" s="54" t="s">
        <v>706</v>
      </c>
      <c r="D521" s="53"/>
    </row>
    <row r="522">
      <c r="B522" s="54" t="s">
        <v>706</v>
      </c>
      <c r="D522" s="53"/>
    </row>
    <row r="523">
      <c r="B523" s="54" t="s">
        <v>706</v>
      </c>
      <c r="D523" s="53"/>
    </row>
    <row r="524">
      <c r="B524" s="54" t="s">
        <v>706</v>
      </c>
      <c r="D524" s="53"/>
    </row>
    <row r="525">
      <c r="B525" s="54" t="s">
        <v>706</v>
      </c>
      <c r="D525" s="53"/>
    </row>
    <row r="526">
      <c r="B526" s="51" t="s">
        <v>709</v>
      </c>
      <c r="D526" s="53"/>
    </row>
    <row r="527">
      <c r="B527" s="54" t="s">
        <v>709</v>
      </c>
      <c r="D527" s="53"/>
    </row>
    <row r="528">
      <c r="B528" s="54" t="s">
        <v>709</v>
      </c>
      <c r="D528" s="53"/>
    </row>
    <row r="529">
      <c r="B529" s="54" t="s">
        <v>709</v>
      </c>
      <c r="D529" s="53"/>
    </row>
    <row r="530">
      <c r="B530" s="54" t="s">
        <v>709</v>
      </c>
      <c r="D530" s="53"/>
    </row>
    <row r="531">
      <c r="B531" s="54" t="s">
        <v>709</v>
      </c>
      <c r="D531" s="53"/>
    </row>
    <row r="532">
      <c r="B532" s="51" t="s">
        <v>712</v>
      </c>
      <c r="D532" s="53"/>
    </row>
    <row r="533">
      <c r="B533" s="54" t="s">
        <v>712</v>
      </c>
      <c r="D533" s="53"/>
    </row>
    <row r="534">
      <c r="B534" s="54" t="s">
        <v>712</v>
      </c>
      <c r="D534" s="53"/>
    </row>
    <row r="535">
      <c r="B535" s="54" t="s">
        <v>712</v>
      </c>
      <c r="D535" s="53"/>
    </row>
    <row r="536">
      <c r="B536" s="54" t="s">
        <v>712</v>
      </c>
      <c r="D536" s="53"/>
    </row>
    <row r="537">
      <c r="B537" s="54" t="s">
        <v>712</v>
      </c>
      <c r="D537" s="53"/>
    </row>
    <row r="538">
      <c r="B538" s="51" t="s">
        <v>715</v>
      </c>
      <c r="D538" s="53"/>
    </row>
    <row r="539">
      <c r="B539" s="54" t="s">
        <v>715</v>
      </c>
      <c r="D539" s="53"/>
    </row>
    <row r="540">
      <c r="B540" s="54" t="s">
        <v>715</v>
      </c>
      <c r="D540" s="53"/>
    </row>
    <row r="541">
      <c r="B541" s="54" t="s">
        <v>715</v>
      </c>
      <c r="D541" s="53"/>
    </row>
    <row r="542">
      <c r="B542" s="54" t="s">
        <v>715</v>
      </c>
      <c r="D542" s="53"/>
    </row>
    <row r="543">
      <c r="B543" s="54" t="s">
        <v>715</v>
      </c>
      <c r="D543" s="53"/>
    </row>
    <row r="544">
      <c r="B544" s="51" t="s">
        <v>718</v>
      </c>
      <c r="D544" s="53"/>
    </row>
    <row r="545">
      <c r="B545" s="54" t="s">
        <v>718</v>
      </c>
      <c r="D545" s="53"/>
    </row>
    <row r="546">
      <c r="B546" s="54" t="s">
        <v>718</v>
      </c>
      <c r="D546" s="53"/>
    </row>
    <row r="547">
      <c r="B547" s="54" t="s">
        <v>718</v>
      </c>
      <c r="D547" s="53"/>
    </row>
    <row r="548">
      <c r="B548" s="54" t="s">
        <v>718</v>
      </c>
      <c r="D548" s="53"/>
    </row>
    <row r="549">
      <c r="B549" s="54" t="s">
        <v>718</v>
      </c>
      <c r="D549" s="53"/>
    </row>
    <row r="550">
      <c r="B550" s="51" t="s">
        <v>719</v>
      </c>
      <c r="D550" s="53"/>
    </row>
    <row r="551">
      <c r="B551" s="54" t="s">
        <v>719</v>
      </c>
      <c r="D551" s="53"/>
    </row>
    <row r="552">
      <c r="B552" s="54" t="s">
        <v>719</v>
      </c>
      <c r="D552" s="53"/>
    </row>
    <row r="553">
      <c r="B553" s="54" t="s">
        <v>719</v>
      </c>
      <c r="D553" s="53"/>
    </row>
    <row r="554">
      <c r="B554" s="54" t="s">
        <v>719</v>
      </c>
      <c r="D554" s="53"/>
    </row>
    <row r="555">
      <c r="B555" s="54" t="s">
        <v>719</v>
      </c>
      <c r="D555" s="53"/>
    </row>
    <row r="556">
      <c r="B556" s="51" t="s">
        <v>720</v>
      </c>
      <c r="D556" s="53"/>
    </row>
    <row r="557">
      <c r="B557" s="54" t="s">
        <v>720</v>
      </c>
      <c r="D557" s="53"/>
    </row>
    <row r="558">
      <c r="B558" s="54" t="s">
        <v>720</v>
      </c>
      <c r="D558" s="53"/>
    </row>
    <row r="559">
      <c r="B559" s="54" t="s">
        <v>720</v>
      </c>
      <c r="D559" s="53"/>
    </row>
    <row r="560">
      <c r="B560" s="54" t="s">
        <v>720</v>
      </c>
      <c r="D560" s="53"/>
    </row>
    <row r="561">
      <c r="B561" s="54" t="s">
        <v>720</v>
      </c>
      <c r="D561" s="53"/>
    </row>
    <row r="562">
      <c r="B562" s="51" t="s">
        <v>723</v>
      </c>
      <c r="D562" s="53"/>
    </row>
    <row r="563">
      <c r="B563" s="54" t="s">
        <v>723</v>
      </c>
      <c r="D563" s="53"/>
    </row>
    <row r="564">
      <c r="B564" s="54" t="s">
        <v>723</v>
      </c>
      <c r="D564" s="53"/>
    </row>
    <row r="565">
      <c r="B565" s="54" t="s">
        <v>723</v>
      </c>
      <c r="D565" s="53"/>
    </row>
    <row r="566">
      <c r="B566" s="54" t="s">
        <v>723</v>
      </c>
      <c r="D566" s="53"/>
    </row>
    <row r="567">
      <c r="B567" s="54" t="s">
        <v>723</v>
      </c>
      <c r="D567" s="53"/>
    </row>
    <row r="568">
      <c r="B568" s="51" t="s">
        <v>724</v>
      </c>
      <c r="D568" s="53"/>
    </row>
    <row r="569">
      <c r="B569" s="54" t="s">
        <v>724</v>
      </c>
      <c r="D569" s="53"/>
    </row>
    <row r="570">
      <c r="B570" s="54" t="s">
        <v>724</v>
      </c>
      <c r="D570" s="53"/>
    </row>
    <row r="571">
      <c r="B571" s="54" t="s">
        <v>724</v>
      </c>
      <c r="D571" s="53"/>
    </row>
    <row r="572">
      <c r="B572" s="54" t="s">
        <v>724</v>
      </c>
      <c r="D572" s="53"/>
    </row>
    <row r="573">
      <c r="B573" s="54" t="s">
        <v>724</v>
      </c>
      <c r="D573" s="53"/>
    </row>
    <row r="574">
      <c r="B574" s="51" t="s">
        <v>725</v>
      </c>
      <c r="D574" s="53"/>
    </row>
    <row r="575">
      <c r="B575" s="54" t="s">
        <v>725</v>
      </c>
      <c r="D575" s="53"/>
    </row>
    <row r="576">
      <c r="B576" s="54" t="s">
        <v>725</v>
      </c>
      <c r="D576" s="53"/>
    </row>
    <row r="577">
      <c r="B577" s="54" t="s">
        <v>725</v>
      </c>
      <c r="D577" s="53"/>
    </row>
    <row r="578">
      <c r="B578" s="54" t="s">
        <v>725</v>
      </c>
      <c r="D578" s="53"/>
    </row>
    <row r="579">
      <c r="B579" s="54" t="s">
        <v>725</v>
      </c>
      <c r="D579" s="53"/>
    </row>
    <row r="580">
      <c r="B580" s="51" t="s">
        <v>728</v>
      </c>
      <c r="D580" s="53"/>
    </row>
    <row r="581">
      <c r="B581" s="54" t="s">
        <v>728</v>
      </c>
      <c r="D581" s="53"/>
    </row>
    <row r="582">
      <c r="B582" s="54" t="s">
        <v>728</v>
      </c>
      <c r="D582" s="53"/>
    </row>
    <row r="583">
      <c r="B583" s="54" t="s">
        <v>728</v>
      </c>
      <c r="D583" s="53"/>
    </row>
    <row r="584">
      <c r="B584" s="54" t="s">
        <v>728</v>
      </c>
      <c r="D584" s="53"/>
    </row>
    <row r="585">
      <c r="B585" s="54" t="s">
        <v>728</v>
      </c>
      <c r="D585" s="53"/>
    </row>
    <row r="586">
      <c r="B586" s="51" t="s">
        <v>729</v>
      </c>
      <c r="D586" s="53"/>
    </row>
    <row r="587">
      <c r="B587" s="54" t="s">
        <v>729</v>
      </c>
      <c r="D587" s="53"/>
    </row>
    <row r="588">
      <c r="B588" s="54" t="s">
        <v>729</v>
      </c>
      <c r="D588" s="53"/>
    </row>
    <row r="589">
      <c r="B589" s="54" t="s">
        <v>729</v>
      </c>
      <c r="D589" s="53"/>
    </row>
    <row r="590">
      <c r="B590" s="54" t="s">
        <v>729</v>
      </c>
      <c r="D590" s="53"/>
    </row>
    <row r="591">
      <c r="B591" s="54" t="s">
        <v>729</v>
      </c>
      <c r="D591" s="53"/>
    </row>
    <row r="592">
      <c r="B592" s="51" t="s">
        <v>731</v>
      </c>
      <c r="D592" s="53"/>
    </row>
    <row r="593">
      <c r="B593" s="54" t="s">
        <v>731</v>
      </c>
      <c r="D593" s="53"/>
    </row>
    <row r="594">
      <c r="B594" s="54" t="s">
        <v>731</v>
      </c>
      <c r="D594" s="53"/>
    </row>
    <row r="595">
      <c r="B595" s="54" t="s">
        <v>731</v>
      </c>
      <c r="D595" s="53"/>
    </row>
    <row r="596">
      <c r="B596" s="54" t="s">
        <v>731</v>
      </c>
      <c r="D596" s="53"/>
    </row>
    <row r="597">
      <c r="B597" s="54" t="s">
        <v>731</v>
      </c>
      <c r="D597" s="53"/>
    </row>
    <row r="598">
      <c r="B598" s="51" t="s">
        <v>745</v>
      </c>
      <c r="D598" s="53"/>
    </row>
    <row r="599">
      <c r="B599" s="54" t="s">
        <v>745</v>
      </c>
      <c r="D599" s="53"/>
    </row>
    <row r="600">
      <c r="B600" s="54" t="s">
        <v>745</v>
      </c>
      <c r="D600" s="53"/>
    </row>
    <row r="601">
      <c r="B601" s="54" t="s">
        <v>745</v>
      </c>
      <c r="D601" s="53"/>
    </row>
    <row r="602">
      <c r="B602" s="54" t="s">
        <v>745</v>
      </c>
      <c r="D602" s="53"/>
    </row>
    <row r="603">
      <c r="B603" s="54" t="s">
        <v>745</v>
      </c>
      <c r="D603" s="53"/>
    </row>
    <row r="604">
      <c r="B604" s="51" t="s">
        <v>748</v>
      </c>
      <c r="D604" s="53"/>
    </row>
    <row r="605">
      <c r="B605" s="54" t="s">
        <v>748</v>
      </c>
      <c r="D605" s="53"/>
    </row>
    <row r="606">
      <c r="B606" s="54" t="s">
        <v>748</v>
      </c>
      <c r="D606" s="53"/>
    </row>
    <row r="607">
      <c r="B607" s="54" t="s">
        <v>748</v>
      </c>
      <c r="D607" s="53"/>
    </row>
    <row r="608">
      <c r="B608" s="54" t="s">
        <v>748</v>
      </c>
      <c r="D608" s="53"/>
    </row>
    <row r="609">
      <c r="B609" s="54" t="s">
        <v>748</v>
      </c>
      <c r="D609" s="53"/>
    </row>
    <row r="610">
      <c r="B610" s="51" t="s">
        <v>752</v>
      </c>
      <c r="D610" s="53"/>
    </row>
    <row r="611">
      <c r="B611" s="54" t="s">
        <v>752</v>
      </c>
      <c r="D611" s="53"/>
    </row>
    <row r="612">
      <c r="B612" s="54" t="s">
        <v>752</v>
      </c>
      <c r="D612" s="53"/>
    </row>
    <row r="613">
      <c r="B613" s="54" t="s">
        <v>752</v>
      </c>
      <c r="D613" s="53"/>
    </row>
    <row r="614">
      <c r="B614" s="54" t="s">
        <v>752</v>
      </c>
      <c r="D614" s="53"/>
    </row>
    <row r="615">
      <c r="B615" s="54" t="s">
        <v>752</v>
      </c>
      <c r="D615" s="53"/>
    </row>
    <row r="616">
      <c r="B616" s="51" t="s">
        <v>754</v>
      </c>
      <c r="D616" s="53"/>
    </row>
    <row r="617">
      <c r="B617" s="54" t="s">
        <v>754</v>
      </c>
      <c r="D617" s="53"/>
    </row>
    <row r="618">
      <c r="B618" s="54" t="s">
        <v>754</v>
      </c>
      <c r="D618" s="53"/>
    </row>
    <row r="619">
      <c r="B619" s="54" t="s">
        <v>754</v>
      </c>
      <c r="D619" s="53"/>
    </row>
    <row r="620">
      <c r="B620" s="54" t="s">
        <v>754</v>
      </c>
      <c r="D620" s="53"/>
    </row>
    <row r="621">
      <c r="B621" s="54" t="s">
        <v>754</v>
      </c>
      <c r="D621" s="53"/>
    </row>
    <row r="622">
      <c r="B622" s="51" t="s">
        <v>758</v>
      </c>
      <c r="D622" s="53"/>
    </row>
    <row r="623">
      <c r="B623" s="54" t="s">
        <v>758</v>
      </c>
      <c r="D623" s="53"/>
    </row>
    <row r="624">
      <c r="B624" s="54" t="s">
        <v>758</v>
      </c>
      <c r="D624" s="53"/>
    </row>
    <row r="625">
      <c r="B625" s="54" t="s">
        <v>758</v>
      </c>
      <c r="D625" s="53"/>
    </row>
    <row r="626">
      <c r="B626" s="54" t="s">
        <v>758</v>
      </c>
      <c r="D626" s="53"/>
    </row>
    <row r="627">
      <c r="B627" s="54" t="s">
        <v>758</v>
      </c>
      <c r="D627" s="53"/>
    </row>
    <row r="628">
      <c r="B628" s="51" t="s">
        <v>763</v>
      </c>
      <c r="D628" s="53"/>
    </row>
    <row r="629">
      <c r="B629" s="54" t="s">
        <v>763</v>
      </c>
      <c r="D629" s="53"/>
    </row>
    <row r="630">
      <c r="B630" s="54" t="s">
        <v>763</v>
      </c>
      <c r="D630" s="53"/>
    </row>
    <row r="631">
      <c r="B631" s="54" t="s">
        <v>763</v>
      </c>
      <c r="D631" s="53"/>
    </row>
    <row r="632">
      <c r="B632" s="54" t="s">
        <v>763</v>
      </c>
      <c r="D632" s="53"/>
    </row>
    <row r="633">
      <c r="B633" s="54" t="s">
        <v>763</v>
      </c>
      <c r="D633" s="53"/>
    </row>
    <row r="634">
      <c r="B634" s="51" t="s">
        <v>764</v>
      </c>
      <c r="D634" s="53"/>
    </row>
    <row r="635">
      <c r="B635" s="54" t="s">
        <v>764</v>
      </c>
      <c r="D635" s="53"/>
    </row>
    <row r="636">
      <c r="B636" s="54" t="s">
        <v>764</v>
      </c>
      <c r="D636" s="53"/>
    </row>
    <row r="637">
      <c r="B637" s="54" t="s">
        <v>764</v>
      </c>
      <c r="D637" s="53"/>
    </row>
    <row r="638">
      <c r="B638" s="54" t="s">
        <v>764</v>
      </c>
      <c r="D638" s="53"/>
    </row>
    <row r="639">
      <c r="B639" s="54" t="s">
        <v>764</v>
      </c>
      <c r="D639" s="53"/>
    </row>
    <row r="640">
      <c r="B640" s="51" t="s">
        <v>767</v>
      </c>
      <c r="D640" s="53"/>
    </row>
    <row r="641">
      <c r="B641" s="54" t="s">
        <v>767</v>
      </c>
      <c r="D641" s="53"/>
    </row>
    <row r="642">
      <c r="B642" s="54" t="s">
        <v>767</v>
      </c>
      <c r="D642" s="53"/>
    </row>
    <row r="643">
      <c r="B643" s="54" t="s">
        <v>767</v>
      </c>
      <c r="D643" s="53"/>
    </row>
    <row r="644">
      <c r="B644" s="54" t="s">
        <v>767</v>
      </c>
      <c r="D644" s="53"/>
    </row>
    <row r="645">
      <c r="B645" s="54" t="s">
        <v>767</v>
      </c>
      <c r="D645" s="53"/>
    </row>
    <row r="646">
      <c r="B646" s="51" t="s">
        <v>769</v>
      </c>
      <c r="D646" s="53"/>
    </row>
    <row r="647">
      <c r="B647" s="54" t="s">
        <v>769</v>
      </c>
      <c r="D647" s="53"/>
    </row>
    <row r="648">
      <c r="B648" s="54" t="s">
        <v>769</v>
      </c>
      <c r="D648" s="53"/>
    </row>
    <row r="649">
      <c r="B649" s="54" t="s">
        <v>769</v>
      </c>
      <c r="D649" s="53"/>
    </row>
    <row r="650">
      <c r="B650" s="54" t="s">
        <v>769</v>
      </c>
      <c r="D650" s="53"/>
    </row>
    <row r="651">
      <c r="B651" s="54" t="s">
        <v>769</v>
      </c>
      <c r="D651" s="53"/>
    </row>
    <row r="652">
      <c r="B652" s="51" t="s">
        <v>772</v>
      </c>
      <c r="D652" s="53"/>
    </row>
    <row r="653">
      <c r="B653" s="54" t="s">
        <v>772</v>
      </c>
      <c r="D653" s="53"/>
    </row>
    <row r="654">
      <c r="B654" s="54" t="s">
        <v>772</v>
      </c>
      <c r="D654" s="53"/>
    </row>
    <row r="655">
      <c r="B655" s="54" t="s">
        <v>772</v>
      </c>
      <c r="D655" s="53"/>
    </row>
    <row r="656">
      <c r="B656" s="54" t="s">
        <v>772</v>
      </c>
      <c r="D656" s="53"/>
    </row>
    <row r="657">
      <c r="B657" s="54" t="s">
        <v>772</v>
      </c>
      <c r="D657" s="53"/>
    </row>
    <row r="658">
      <c r="B658" s="51" t="s">
        <v>773</v>
      </c>
      <c r="D658" s="53"/>
    </row>
    <row r="659">
      <c r="B659" s="54" t="s">
        <v>773</v>
      </c>
      <c r="D659" s="53"/>
    </row>
    <row r="660">
      <c r="B660" s="54" t="s">
        <v>773</v>
      </c>
      <c r="D660" s="53"/>
    </row>
    <row r="661">
      <c r="B661" s="54" t="s">
        <v>773</v>
      </c>
      <c r="D661" s="53"/>
    </row>
    <row r="662">
      <c r="B662" s="54" t="s">
        <v>773</v>
      </c>
      <c r="D662" s="53"/>
    </row>
    <row r="663">
      <c r="B663" s="54" t="s">
        <v>773</v>
      </c>
      <c r="D663" s="53"/>
    </row>
    <row r="664">
      <c r="B664" s="51" t="s">
        <v>777</v>
      </c>
      <c r="D664" s="53"/>
    </row>
    <row r="665">
      <c r="B665" s="54" t="s">
        <v>777</v>
      </c>
      <c r="D665" s="53"/>
    </row>
    <row r="666">
      <c r="B666" s="54" t="s">
        <v>777</v>
      </c>
      <c r="D666" s="53"/>
    </row>
    <row r="667">
      <c r="B667" s="54" t="s">
        <v>777</v>
      </c>
      <c r="D667" s="53"/>
    </row>
    <row r="668">
      <c r="B668" s="54" t="s">
        <v>777</v>
      </c>
      <c r="D668" s="53"/>
    </row>
    <row r="669">
      <c r="B669" s="54" t="s">
        <v>777</v>
      </c>
      <c r="D669" s="53"/>
    </row>
    <row r="670">
      <c r="B670" s="51" t="s">
        <v>780</v>
      </c>
      <c r="D670" s="53"/>
    </row>
    <row r="671">
      <c r="B671" s="54" t="s">
        <v>780</v>
      </c>
      <c r="D671" s="53"/>
    </row>
    <row r="672">
      <c r="B672" s="54" t="s">
        <v>780</v>
      </c>
      <c r="D672" s="53"/>
    </row>
    <row r="673">
      <c r="B673" s="54" t="s">
        <v>780</v>
      </c>
      <c r="D673" s="53"/>
    </row>
    <row r="674">
      <c r="B674" s="54" t="s">
        <v>780</v>
      </c>
      <c r="D674" s="53"/>
    </row>
    <row r="675">
      <c r="B675" s="54" t="s">
        <v>780</v>
      </c>
      <c r="D675" s="53"/>
    </row>
    <row r="676">
      <c r="B676" s="51" t="s">
        <v>782</v>
      </c>
      <c r="D676" s="53"/>
    </row>
    <row r="677">
      <c r="B677" s="54" t="s">
        <v>782</v>
      </c>
      <c r="D677" s="53"/>
    </row>
    <row r="678">
      <c r="B678" s="54" t="s">
        <v>782</v>
      </c>
      <c r="D678" s="53"/>
    </row>
    <row r="679">
      <c r="B679" s="54" t="s">
        <v>782</v>
      </c>
      <c r="D679" s="53"/>
    </row>
    <row r="680">
      <c r="B680" s="54" t="s">
        <v>782</v>
      </c>
      <c r="D680" s="53"/>
    </row>
    <row r="681">
      <c r="B681" s="54" t="s">
        <v>782</v>
      </c>
      <c r="D681" s="53"/>
    </row>
    <row r="682">
      <c r="B682" s="51" t="s">
        <v>785</v>
      </c>
      <c r="D682" s="53"/>
    </row>
    <row r="683">
      <c r="B683" s="54" t="s">
        <v>785</v>
      </c>
      <c r="D683" s="53"/>
    </row>
    <row r="684">
      <c r="B684" s="54" t="s">
        <v>785</v>
      </c>
      <c r="D684" s="53"/>
    </row>
    <row r="685">
      <c r="B685" s="54" t="s">
        <v>785</v>
      </c>
      <c r="D685" s="53"/>
    </row>
    <row r="686">
      <c r="B686" s="54" t="s">
        <v>785</v>
      </c>
      <c r="D686" s="53"/>
    </row>
    <row r="687">
      <c r="B687" s="54" t="s">
        <v>785</v>
      </c>
      <c r="D687" s="53"/>
    </row>
    <row r="688">
      <c r="B688" s="51" t="s">
        <v>790</v>
      </c>
      <c r="D688" s="53"/>
    </row>
    <row r="689">
      <c r="B689" s="54" t="s">
        <v>790</v>
      </c>
      <c r="D689" s="53"/>
    </row>
    <row r="690">
      <c r="B690" s="54" t="s">
        <v>790</v>
      </c>
      <c r="D690" s="53"/>
    </row>
    <row r="691">
      <c r="B691" s="54" t="s">
        <v>790</v>
      </c>
      <c r="D691" s="53"/>
    </row>
    <row r="692">
      <c r="B692" s="54" t="s">
        <v>790</v>
      </c>
      <c r="D692" s="53"/>
    </row>
    <row r="693">
      <c r="B693" s="54" t="s">
        <v>790</v>
      </c>
      <c r="D693" s="53"/>
    </row>
    <row r="694">
      <c r="B694" s="51" t="s">
        <v>794</v>
      </c>
      <c r="D694" s="53"/>
    </row>
    <row r="695">
      <c r="B695" s="54" t="s">
        <v>794</v>
      </c>
      <c r="D695" s="53"/>
    </row>
    <row r="696">
      <c r="B696" s="54" t="s">
        <v>794</v>
      </c>
      <c r="D696" s="53"/>
    </row>
    <row r="697">
      <c r="B697" s="54" t="s">
        <v>794</v>
      </c>
      <c r="D697" s="53"/>
    </row>
    <row r="698">
      <c r="B698" s="54" t="s">
        <v>794</v>
      </c>
      <c r="D698" s="53"/>
    </row>
    <row r="699">
      <c r="B699" s="54" t="s">
        <v>794</v>
      </c>
      <c r="D699" s="53"/>
    </row>
    <row r="700">
      <c r="B700" s="51" t="s">
        <v>797</v>
      </c>
      <c r="D700" s="53"/>
    </row>
    <row r="701">
      <c r="B701" s="54" t="s">
        <v>797</v>
      </c>
      <c r="D701" s="53"/>
    </row>
    <row r="702">
      <c r="B702" s="54" t="s">
        <v>797</v>
      </c>
      <c r="D702" s="53"/>
    </row>
    <row r="703">
      <c r="B703" s="54" t="s">
        <v>797</v>
      </c>
      <c r="D703" s="53"/>
    </row>
    <row r="704">
      <c r="B704" s="54" t="s">
        <v>797</v>
      </c>
      <c r="D704" s="53"/>
    </row>
    <row r="705">
      <c r="B705" s="54" t="s">
        <v>797</v>
      </c>
      <c r="D705" s="53"/>
    </row>
    <row r="706">
      <c r="B706" s="51" t="s">
        <v>802</v>
      </c>
      <c r="D706" s="53"/>
    </row>
    <row r="707">
      <c r="B707" s="54" t="s">
        <v>802</v>
      </c>
      <c r="D707" s="53"/>
    </row>
    <row r="708">
      <c r="B708" s="54" t="s">
        <v>802</v>
      </c>
      <c r="D708" s="53"/>
    </row>
    <row r="709">
      <c r="B709" s="54" t="s">
        <v>802</v>
      </c>
      <c r="D709" s="53"/>
    </row>
    <row r="710">
      <c r="B710" s="54" t="s">
        <v>802</v>
      </c>
      <c r="D710" s="53"/>
    </row>
    <row r="711">
      <c r="B711" s="54" t="s">
        <v>802</v>
      </c>
      <c r="D711" s="53"/>
    </row>
    <row r="712">
      <c r="B712" s="51" t="s">
        <v>805</v>
      </c>
      <c r="D712" s="53"/>
    </row>
    <row r="713">
      <c r="B713" s="54" t="s">
        <v>805</v>
      </c>
      <c r="D713" s="53"/>
    </row>
    <row r="714">
      <c r="B714" s="54" t="s">
        <v>805</v>
      </c>
      <c r="D714" s="53"/>
    </row>
    <row r="715">
      <c r="B715" s="54" t="s">
        <v>805</v>
      </c>
      <c r="D715" s="53"/>
    </row>
    <row r="716">
      <c r="B716" s="54" t="s">
        <v>805</v>
      </c>
      <c r="D716" s="53"/>
    </row>
    <row r="717">
      <c r="B717" s="54" t="s">
        <v>805</v>
      </c>
      <c r="D717" s="53"/>
    </row>
    <row r="718">
      <c r="B718" s="51" t="s">
        <v>811</v>
      </c>
      <c r="D718" s="53"/>
    </row>
    <row r="719">
      <c r="B719" s="54" t="s">
        <v>811</v>
      </c>
      <c r="D719" s="53"/>
    </row>
    <row r="720">
      <c r="B720" s="54" t="s">
        <v>811</v>
      </c>
      <c r="D720" s="53"/>
    </row>
    <row r="721">
      <c r="B721" s="54" t="s">
        <v>811</v>
      </c>
      <c r="D721" s="53"/>
    </row>
    <row r="722">
      <c r="B722" s="54" t="s">
        <v>811</v>
      </c>
      <c r="D722" s="53"/>
    </row>
    <row r="723">
      <c r="B723" s="54" t="s">
        <v>811</v>
      </c>
      <c r="D723" s="53"/>
    </row>
    <row r="724">
      <c r="B724" s="51" t="s">
        <v>814</v>
      </c>
      <c r="D724" s="53"/>
    </row>
    <row r="725">
      <c r="B725" s="54" t="s">
        <v>814</v>
      </c>
      <c r="D725" s="53"/>
    </row>
    <row r="726">
      <c r="B726" s="54" t="s">
        <v>814</v>
      </c>
      <c r="D726" s="53"/>
    </row>
    <row r="727">
      <c r="B727" s="54" t="s">
        <v>814</v>
      </c>
      <c r="D727" s="53"/>
    </row>
    <row r="728">
      <c r="B728" s="54" t="s">
        <v>814</v>
      </c>
      <c r="D728" s="53"/>
    </row>
    <row r="729">
      <c r="B729" s="54" t="s">
        <v>814</v>
      </c>
      <c r="D729" s="53"/>
    </row>
    <row r="730">
      <c r="B730" s="51" t="s">
        <v>817</v>
      </c>
      <c r="D730" s="53"/>
    </row>
    <row r="731">
      <c r="B731" s="54" t="s">
        <v>817</v>
      </c>
      <c r="D731" s="53"/>
    </row>
    <row r="732">
      <c r="B732" s="54" t="s">
        <v>817</v>
      </c>
      <c r="D732" s="53"/>
    </row>
    <row r="733">
      <c r="B733" s="54" t="s">
        <v>817</v>
      </c>
      <c r="D733" s="53"/>
    </row>
    <row r="734">
      <c r="B734" s="54" t="s">
        <v>817</v>
      </c>
      <c r="D734" s="53"/>
    </row>
    <row r="735">
      <c r="B735" s="54" t="s">
        <v>817</v>
      </c>
      <c r="D735" s="53"/>
    </row>
    <row r="736">
      <c r="B736" s="51" t="s">
        <v>819</v>
      </c>
      <c r="D736" s="53"/>
    </row>
    <row r="737">
      <c r="B737" s="54" t="s">
        <v>819</v>
      </c>
      <c r="D737" s="53"/>
    </row>
    <row r="738">
      <c r="B738" s="54" t="s">
        <v>819</v>
      </c>
      <c r="D738" s="53"/>
    </row>
    <row r="739">
      <c r="B739" s="54" t="s">
        <v>819</v>
      </c>
      <c r="D739" s="53"/>
    </row>
    <row r="740">
      <c r="B740" s="54" t="s">
        <v>819</v>
      </c>
      <c r="D740" s="53"/>
    </row>
    <row r="741">
      <c r="B741" s="54" t="s">
        <v>819</v>
      </c>
      <c r="D741" s="53"/>
    </row>
    <row r="742">
      <c r="B742" s="51" t="s">
        <v>822</v>
      </c>
      <c r="D742" s="53"/>
    </row>
    <row r="743">
      <c r="B743" s="54" t="s">
        <v>822</v>
      </c>
      <c r="D743" s="53"/>
    </row>
    <row r="744">
      <c r="B744" s="54" t="s">
        <v>822</v>
      </c>
      <c r="D744" s="53"/>
    </row>
    <row r="745">
      <c r="B745" s="54" t="s">
        <v>822</v>
      </c>
      <c r="D745" s="53"/>
    </row>
    <row r="746">
      <c r="B746" s="54" t="s">
        <v>822</v>
      </c>
      <c r="D746" s="53"/>
    </row>
    <row r="747">
      <c r="B747" s="54" t="s">
        <v>822</v>
      </c>
      <c r="D747" s="53"/>
    </row>
    <row r="748">
      <c r="B748" s="51" t="s">
        <v>824</v>
      </c>
      <c r="D748" s="53"/>
    </row>
    <row r="749">
      <c r="B749" s="54" t="s">
        <v>824</v>
      </c>
      <c r="D749" s="53"/>
    </row>
    <row r="750">
      <c r="B750" s="54" t="s">
        <v>824</v>
      </c>
      <c r="D750" s="53"/>
    </row>
    <row r="751">
      <c r="B751" s="54" t="s">
        <v>824</v>
      </c>
      <c r="D751" s="53"/>
    </row>
    <row r="752">
      <c r="B752" s="54" t="s">
        <v>824</v>
      </c>
      <c r="D752" s="53"/>
    </row>
    <row r="753">
      <c r="B753" s="54" t="s">
        <v>824</v>
      </c>
      <c r="D753" s="53"/>
    </row>
    <row r="754">
      <c r="B754" s="51" t="s">
        <v>829</v>
      </c>
      <c r="D754" s="53"/>
    </row>
    <row r="755">
      <c r="B755" s="54" t="s">
        <v>829</v>
      </c>
      <c r="D755" s="53"/>
    </row>
    <row r="756">
      <c r="B756" s="54" t="s">
        <v>829</v>
      </c>
      <c r="D756" s="53"/>
    </row>
    <row r="757">
      <c r="B757" s="54" t="s">
        <v>829</v>
      </c>
      <c r="D757" s="53"/>
    </row>
    <row r="758">
      <c r="B758" s="54" t="s">
        <v>829</v>
      </c>
      <c r="D758" s="53"/>
    </row>
    <row r="759">
      <c r="B759" s="54" t="s">
        <v>829</v>
      </c>
      <c r="D759" s="53"/>
    </row>
    <row r="760">
      <c r="B760" s="51" t="s">
        <v>846</v>
      </c>
      <c r="D760" s="53"/>
    </row>
    <row r="761">
      <c r="B761" s="54" t="s">
        <v>846</v>
      </c>
      <c r="D761" s="53"/>
    </row>
    <row r="762">
      <c r="B762" s="54" t="s">
        <v>846</v>
      </c>
      <c r="D762" s="53"/>
    </row>
    <row r="763">
      <c r="B763" s="54" t="s">
        <v>846</v>
      </c>
      <c r="D763" s="53"/>
    </row>
    <row r="764">
      <c r="B764" s="54" t="s">
        <v>846</v>
      </c>
      <c r="D764" s="53"/>
    </row>
    <row r="765">
      <c r="B765" s="54" t="s">
        <v>846</v>
      </c>
      <c r="D765" s="53"/>
    </row>
    <row r="766">
      <c r="B766" s="51" t="s">
        <v>850</v>
      </c>
      <c r="D766" s="53"/>
    </row>
    <row r="767">
      <c r="B767" s="54" t="s">
        <v>850</v>
      </c>
      <c r="D767" s="53"/>
    </row>
    <row r="768">
      <c r="B768" s="54" t="s">
        <v>850</v>
      </c>
      <c r="D768" s="53"/>
    </row>
    <row r="769">
      <c r="B769" s="54" t="s">
        <v>850</v>
      </c>
      <c r="D769" s="53"/>
    </row>
    <row r="770">
      <c r="B770" s="54" t="s">
        <v>850</v>
      </c>
      <c r="D770" s="53"/>
    </row>
    <row r="771">
      <c r="B771" s="54" t="s">
        <v>850</v>
      </c>
      <c r="D771" s="53"/>
    </row>
    <row r="772">
      <c r="B772" s="51" t="s">
        <v>852</v>
      </c>
      <c r="D772" s="53"/>
    </row>
    <row r="773">
      <c r="B773" s="54" t="s">
        <v>852</v>
      </c>
      <c r="D773" s="53"/>
    </row>
    <row r="774">
      <c r="B774" s="54" t="s">
        <v>852</v>
      </c>
      <c r="D774" s="53"/>
    </row>
    <row r="775">
      <c r="B775" s="54" t="s">
        <v>852</v>
      </c>
      <c r="D775" s="53"/>
    </row>
    <row r="776">
      <c r="B776" s="54" t="s">
        <v>852</v>
      </c>
      <c r="D776" s="53"/>
    </row>
    <row r="777">
      <c r="B777" s="54" t="s">
        <v>852</v>
      </c>
      <c r="D777" s="53"/>
    </row>
    <row r="778">
      <c r="B778" s="51" t="s">
        <v>855</v>
      </c>
      <c r="D778" s="53"/>
    </row>
    <row r="779">
      <c r="B779" s="54" t="s">
        <v>855</v>
      </c>
      <c r="D779" s="53"/>
    </row>
    <row r="780">
      <c r="B780" s="54" t="s">
        <v>855</v>
      </c>
      <c r="D780" s="53"/>
    </row>
    <row r="781">
      <c r="B781" s="54" t="s">
        <v>855</v>
      </c>
      <c r="D781" s="53"/>
    </row>
    <row r="782">
      <c r="B782" s="54" t="s">
        <v>855</v>
      </c>
      <c r="D782" s="53"/>
    </row>
    <row r="783">
      <c r="B783" s="54" t="s">
        <v>855</v>
      </c>
      <c r="D783" s="53"/>
    </row>
    <row r="784">
      <c r="B784" s="51" t="s">
        <v>857</v>
      </c>
      <c r="D784" s="53"/>
    </row>
    <row r="785">
      <c r="B785" s="54" t="s">
        <v>857</v>
      </c>
      <c r="D785" s="53"/>
    </row>
    <row r="786">
      <c r="B786" s="54" t="s">
        <v>857</v>
      </c>
      <c r="D786" s="53"/>
    </row>
    <row r="787">
      <c r="B787" s="54" t="s">
        <v>857</v>
      </c>
      <c r="D787" s="53"/>
    </row>
    <row r="788">
      <c r="B788" s="54" t="s">
        <v>857</v>
      </c>
      <c r="D788" s="53"/>
    </row>
    <row r="789">
      <c r="B789" s="54" t="s">
        <v>857</v>
      </c>
      <c r="D789" s="53"/>
    </row>
    <row r="790">
      <c r="B790" s="51" t="s">
        <v>858</v>
      </c>
      <c r="D790" s="53"/>
    </row>
    <row r="791">
      <c r="B791" s="54" t="s">
        <v>858</v>
      </c>
      <c r="D791" s="53"/>
    </row>
    <row r="792">
      <c r="B792" s="54" t="s">
        <v>858</v>
      </c>
      <c r="D792" s="53"/>
    </row>
    <row r="793">
      <c r="B793" s="54" t="s">
        <v>858</v>
      </c>
      <c r="D793" s="53"/>
    </row>
    <row r="794">
      <c r="B794" s="54" t="s">
        <v>858</v>
      </c>
      <c r="D794" s="53"/>
    </row>
    <row r="795">
      <c r="B795" s="54" t="s">
        <v>858</v>
      </c>
      <c r="D795" s="53"/>
    </row>
    <row r="796">
      <c r="B796" s="51" t="s">
        <v>865</v>
      </c>
      <c r="D796" s="53"/>
    </row>
    <row r="797">
      <c r="B797" s="54" t="s">
        <v>865</v>
      </c>
      <c r="D797" s="53"/>
    </row>
    <row r="798">
      <c r="B798" s="54" t="s">
        <v>865</v>
      </c>
      <c r="D798" s="53"/>
    </row>
    <row r="799">
      <c r="B799" s="54" t="s">
        <v>865</v>
      </c>
      <c r="D799" s="53"/>
    </row>
    <row r="800">
      <c r="B800" s="54" t="s">
        <v>865</v>
      </c>
      <c r="D800" s="53"/>
    </row>
    <row r="801">
      <c r="B801" s="54" t="s">
        <v>865</v>
      </c>
      <c r="D801" s="53"/>
    </row>
    <row r="802">
      <c r="B802" s="51" t="s">
        <v>866</v>
      </c>
      <c r="D802" s="53"/>
    </row>
    <row r="803">
      <c r="B803" s="54" t="s">
        <v>866</v>
      </c>
      <c r="D803" s="53"/>
    </row>
    <row r="804">
      <c r="B804" s="54" t="s">
        <v>866</v>
      </c>
      <c r="D804" s="53"/>
    </row>
    <row r="805">
      <c r="B805" s="54" t="s">
        <v>866</v>
      </c>
      <c r="D805" s="53"/>
    </row>
    <row r="806">
      <c r="B806" s="54" t="s">
        <v>866</v>
      </c>
      <c r="D806" s="53"/>
    </row>
    <row r="807">
      <c r="B807" s="54" t="s">
        <v>866</v>
      </c>
      <c r="D807" s="53"/>
    </row>
    <row r="808">
      <c r="B808" s="51" t="s">
        <v>867</v>
      </c>
      <c r="D808" s="53"/>
    </row>
    <row r="809">
      <c r="B809" s="54" t="s">
        <v>867</v>
      </c>
      <c r="D809" s="53"/>
    </row>
    <row r="810">
      <c r="B810" s="54" t="s">
        <v>867</v>
      </c>
      <c r="D810" s="53"/>
    </row>
    <row r="811">
      <c r="B811" s="54" t="s">
        <v>867</v>
      </c>
      <c r="D811" s="53"/>
    </row>
    <row r="812">
      <c r="B812" s="54" t="s">
        <v>867</v>
      </c>
      <c r="D812" s="53"/>
    </row>
    <row r="813">
      <c r="B813" s="54" t="s">
        <v>867</v>
      </c>
      <c r="D813" s="53"/>
    </row>
    <row r="814">
      <c r="B814" s="51" t="s">
        <v>869</v>
      </c>
      <c r="D814" s="53"/>
    </row>
    <row r="815">
      <c r="B815" s="54" t="s">
        <v>869</v>
      </c>
      <c r="D815" s="53"/>
    </row>
    <row r="816">
      <c r="B816" s="54" t="s">
        <v>869</v>
      </c>
      <c r="D816" s="53"/>
    </row>
    <row r="817">
      <c r="B817" s="54" t="s">
        <v>869</v>
      </c>
      <c r="D817" s="53"/>
    </row>
    <row r="818">
      <c r="B818" s="54" t="s">
        <v>869</v>
      </c>
      <c r="D818" s="53"/>
    </row>
    <row r="819">
      <c r="B819" s="54" t="s">
        <v>869</v>
      </c>
      <c r="D819" s="53"/>
    </row>
    <row r="820">
      <c r="B820" s="51" t="s">
        <v>875</v>
      </c>
      <c r="D820" s="53"/>
    </row>
    <row r="821">
      <c r="B821" s="54" t="s">
        <v>875</v>
      </c>
      <c r="D821" s="53"/>
    </row>
    <row r="822">
      <c r="B822" s="54" t="s">
        <v>875</v>
      </c>
      <c r="D822" s="53"/>
    </row>
    <row r="823">
      <c r="B823" s="54" t="s">
        <v>875</v>
      </c>
      <c r="D823" s="53"/>
    </row>
    <row r="824">
      <c r="B824" s="54" t="s">
        <v>875</v>
      </c>
      <c r="D824" s="53"/>
    </row>
    <row r="825">
      <c r="B825" s="54" t="s">
        <v>875</v>
      </c>
      <c r="D825" s="53"/>
    </row>
    <row r="826">
      <c r="B826" s="51" t="s">
        <v>831</v>
      </c>
      <c r="D826" s="53"/>
    </row>
    <row r="827">
      <c r="B827" s="54" t="s">
        <v>831</v>
      </c>
      <c r="D827" s="53"/>
    </row>
    <row r="828">
      <c r="B828" s="54" t="s">
        <v>831</v>
      </c>
      <c r="D828" s="53"/>
    </row>
    <row r="829">
      <c r="B829" s="54" t="s">
        <v>831</v>
      </c>
      <c r="D829" s="53"/>
    </row>
    <row r="830">
      <c r="B830" s="54" t="s">
        <v>831</v>
      </c>
      <c r="D830" s="53"/>
    </row>
    <row r="831">
      <c r="B831" s="54" t="s">
        <v>831</v>
      </c>
      <c r="D831" s="53"/>
    </row>
    <row r="832">
      <c r="B832" s="51" t="s">
        <v>835</v>
      </c>
      <c r="D832" s="53"/>
    </row>
    <row r="833">
      <c r="B833" s="54" t="s">
        <v>835</v>
      </c>
      <c r="D833" s="53"/>
    </row>
    <row r="834">
      <c r="B834" s="54" t="s">
        <v>835</v>
      </c>
      <c r="D834" s="53"/>
    </row>
    <row r="835">
      <c r="B835" s="54" t="s">
        <v>835</v>
      </c>
      <c r="D835" s="53"/>
    </row>
    <row r="836">
      <c r="B836" s="54" t="s">
        <v>835</v>
      </c>
      <c r="D836" s="53"/>
    </row>
    <row r="837">
      <c r="B837" s="54" t="s">
        <v>835</v>
      </c>
      <c r="D837" s="53"/>
    </row>
    <row r="838">
      <c r="B838" s="51" t="s">
        <v>836</v>
      </c>
      <c r="D838" s="53"/>
    </row>
    <row r="839">
      <c r="B839" s="54" t="s">
        <v>836</v>
      </c>
      <c r="D839" s="53"/>
    </row>
    <row r="840">
      <c r="B840" s="54" t="s">
        <v>836</v>
      </c>
      <c r="D840" s="53"/>
    </row>
    <row r="841">
      <c r="B841" s="54" t="s">
        <v>836</v>
      </c>
      <c r="D841" s="53"/>
    </row>
    <row r="842">
      <c r="B842" s="54" t="s">
        <v>836</v>
      </c>
      <c r="D842" s="53"/>
    </row>
    <row r="843">
      <c r="B843" s="54" t="s">
        <v>836</v>
      </c>
      <c r="D843" s="53"/>
    </row>
    <row r="844">
      <c r="B844" s="51" t="s">
        <v>839</v>
      </c>
      <c r="D844" s="53"/>
    </row>
    <row r="845">
      <c r="B845" s="54" t="s">
        <v>839</v>
      </c>
      <c r="D845" s="53"/>
    </row>
    <row r="846">
      <c r="B846" s="54" t="s">
        <v>839</v>
      </c>
      <c r="D846" s="53"/>
    </row>
    <row r="847">
      <c r="B847" s="54" t="s">
        <v>839</v>
      </c>
      <c r="D847" s="53"/>
    </row>
    <row r="848">
      <c r="B848" s="54" t="s">
        <v>839</v>
      </c>
      <c r="D848" s="53"/>
    </row>
    <row r="849">
      <c r="B849" s="54" t="s">
        <v>839</v>
      </c>
      <c r="D849" s="53"/>
    </row>
    <row r="850">
      <c r="B850" s="51" t="s">
        <v>878</v>
      </c>
      <c r="D850" s="53"/>
    </row>
    <row r="851">
      <c r="B851" s="54" t="s">
        <v>878</v>
      </c>
      <c r="D851" s="53"/>
    </row>
    <row r="852">
      <c r="B852" s="54" t="s">
        <v>878</v>
      </c>
      <c r="D852" s="53"/>
    </row>
    <row r="853">
      <c r="B853" s="54" t="s">
        <v>878</v>
      </c>
      <c r="D853" s="53"/>
    </row>
    <row r="854">
      <c r="B854" s="54" t="s">
        <v>878</v>
      </c>
      <c r="D854" s="53"/>
    </row>
    <row r="855">
      <c r="B855" s="54" t="s">
        <v>878</v>
      </c>
      <c r="D855" s="53"/>
    </row>
    <row r="856">
      <c r="B856" s="51" t="s">
        <v>880</v>
      </c>
      <c r="D856" s="53"/>
    </row>
    <row r="857">
      <c r="B857" s="54" t="s">
        <v>880</v>
      </c>
      <c r="D857" s="53"/>
    </row>
    <row r="858">
      <c r="B858" s="54" t="s">
        <v>880</v>
      </c>
      <c r="D858" s="53"/>
    </row>
    <row r="859">
      <c r="B859" s="54" t="s">
        <v>880</v>
      </c>
      <c r="D859" s="53"/>
    </row>
    <row r="860">
      <c r="B860" s="54" t="s">
        <v>880</v>
      </c>
      <c r="D860" s="53"/>
    </row>
    <row r="861">
      <c r="B861" s="54" t="s">
        <v>880</v>
      </c>
      <c r="D861" s="53"/>
    </row>
    <row r="862">
      <c r="B862" s="51" t="s">
        <v>914</v>
      </c>
      <c r="D862" s="53"/>
    </row>
    <row r="863">
      <c r="B863" s="54" t="s">
        <v>914</v>
      </c>
      <c r="D863" s="53"/>
    </row>
    <row r="864">
      <c r="B864" s="54" t="s">
        <v>914</v>
      </c>
      <c r="D864" s="53"/>
    </row>
    <row r="865">
      <c r="B865" s="54" t="s">
        <v>914</v>
      </c>
      <c r="D865" s="53"/>
    </row>
    <row r="866">
      <c r="B866" s="54" t="s">
        <v>914</v>
      </c>
      <c r="D866" s="53"/>
    </row>
    <row r="867">
      <c r="B867" s="54" t="s">
        <v>914</v>
      </c>
      <c r="D867" s="53"/>
    </row>
    <row r="868">
      <c r="B868" s="51" t="s">
        <v>885</v>
      </c>
      <c r="D868" s="53"/>
    </row>
    <row r="869">
      <c r="B869" s="54" t="s">
        <v>885</v>
      </c>
      <c r="D869" s="53"/>
    </row>
    <row r="870">
      <c r="B870" s="54" t="s">
        <v>885</v>
      </c>
      <c r="D870" s="53"/>
    </row>
    <row r="871">
      <c r="B871" s="54" t="s">
        <v>885</v>
      </c>
      <c r="D871" s="53"/>
    </row>
    <row r="872">
      <c r="B872" s="54" t="s">
        <v>885</v>
      </c>
      <c r="D872" s="53"/>
    </row>
    <row r="873">
      <c r="B873" s="54" t="s">
        <v>885</v>
      </c>
      <c r="D873" s="53"/>
    </row>
    <row r="874">
      <c r="B874" s="51" t="s">
        <v>887</v>
      </c>
      <c r="D874" s="53"/>
    </row>
    <row r="875">
      <c r="B875" s="54" t="s">
        <v>887</v>
      </c>
      <c r="D875" s="53"/>
    </row>
    <row r="876">
      <c r="B876" s="54" t="s">
        <v>887</v>
      </c>
      <c r="D876" s="53"/>
    </row>
    <row r="877">
      <c r="B877" s="54" t="s">
        <v>887</v>
      </c>
      <c r="D877" s="53"/>
    </row>
    <row r="878">
      <c r="B878" s="54" t="s">
        <v>887</v>
      </c>
      <c r="D878" s="53"/>
    </row>
    <row r="879">
      <c r="B879" s="54" t="s">
        <v>887</v>
      </c>
      <c r="D879" s="53"/>
    </row>
    <row r="880">
      <c r="B880" s="51" t="s">
        <v>890</v>
      </c>
      <c r="D880" s="53"/>
    </row>
    <row r="881">
      <c r="B881" s="54" t="s">
        <v>890</v>
      </c>
      <c r="D881" s="53"/>
    </row>
    <row r="882">
      <c r="B882" s="54" t="s">
        <v>890</v>
      </c>
      <c r="D882" s="53"/>
    </row>
    <row r="883">
      <c r="B883" s="54" t="s">
        <v>890</v>
      </c>
      <c r="D883" s="53"/>
    </row>
    <row r="884">
      <c r="B884" s="54" t="s">
        <v>890</v>
      </c>
      <c r="D884" s="53"/>
    </row>
    <row r="885">
      <c r="B885" s="54" t="s">
        <v>890</v>
      </c>
      <c r="D885" s="53"/>
    </row>
    <row r="886">
      <c r="B886" s="51" t="s">
        <v>896</v>
      </c>
      <c r="D886" s="53"/>
    </row>
    <row r="887">
      <c r="B887" s="54" t="s">
        <v>896</v>
      </c>
      <c r="D887" s="53"/>
    </row>
    <row r="888">
      <c r="B888" s="54" t="s">
        <v>896</v>
      </c>
      <c r="D888" s="53"/>
    </row>
    <row r="889">
      <c r="B889" s="54" t="s">
        <v>896</v>
      </c>
      <c r="D889" s="53"/>
    </row>
    <row r="890">
      <c r="B890" s="54" t="s">
        <v>896</v>
      </c>
      <c r="D890" s="53"/>
    </row>
    <row r="891">
      <c r="B891" s="54" t="s">
        <v>896</v>
      </c>
      <c r="D891" s="53"/>
    </row>
    <row r="892">
      <c r="B892" s="51" t="s">
        <v>901</v>
      </c>
      <c r="D892" s="53"/>
    </row>
    <row r="893">
      <c r="B893" s="54" t="s">
        <v>901</v>
      </c>
      <c r="D893" s="53"/>
    </row>
    <row r="894">
      <c r="B894" s="54" t="s">
        <v>901</v>
      </c>
      <c r="D894" s="53"/>
    </row>
    <row r="895">
      <c r="B895" s="54" t="s">
        <v>901</v>
      </c>
      <c r="D895" s="53"/>
    </row>
    <row r="896">
      <c r="B896" s="54" t="s">
        <v>901</v>
      </c>
      <c r="D896" s="53"/>
    </row>
    <row r="897">
      <c r="B897" s="54" t="s">
        <v>901</v>
      </c>
      <c r="D897" s="53"/>
    </row>
    <row r="898">
      <c r="B898" s="51" t="s">
        <v>905</v>
      </c>
      <c r="D898" s="53"/>
    </row>
    <row r="899">
      <c r="B899" s="54" t="s">
        <v>905</v>
      </c>
      <c r="D899" s="53"/>
    </row>
    <row r="900">
      <c r="B900" s="54" t="s">
        <v>905</v>
      </c>
      <c r="D900" s="53"/>
    </row>
    <row r="901">
      <c r="B901" s="54" t="s">
        <v>905</v>
      </c>
      <c r="D901" s="53"/>
    </row>
    <row r="902">
      <c r="B902" s="54" t="s">
        <v>905</v>
      </c>
      <c r="D902" s="53"/>
    </row>
    <row r="903">
      <c r="B903" s="54" t="s">
        <v>905</v>
      </c>
      <c r="D903" s="53"/>
    </row>
    <row r="904">
      <c r="B904" s="51" t="s">
        <v>862</v>
      </c>
      <c r="D904" s="53"/>
    </row>
    <row r="905">
      <c r="B905" s="54" t="s">
        <v>862</v>
      </c>
      <c r="D905" s="53"/>
    </row>
    <row r="906">
      <c r="B906" s="54" t="s">
        <v>862</v>
      </c>
      <c r="D906" s="53"/>
    </row>
    <row r="907">
      <c r="B907" s="54" t="s">
        <v>862</v>
      </c>
      <c r="D907" s="53"/>
    </row>
    <row r="908">
      <c r="B908" s="54" t="s">
        <v>862</v>
      </c>
      <c r="D908" s="53"/>
    </row>
    <row r="909">
      <c r="B909" s="56" t="s">
        <v>862</v>
      </c>
      <c r="C909" s="57"/>
      <c r="D909" s="58"/>
    </row>
    <row r="910">
      <c r="B910" s="55" t="s">
        <v>919</v>
      </c>
    </row>
    <row r="911">
      <c r="B911" s="6" t="s">
        <v>919</v>
      </c>
    </row>
    <row r="912">
      <c r="B912" s="6" t="s">
        <v>919</v>
      </c>
    </row>
    <row r="913">
      <c r="B913" s="6" t="s">
        <v>919</v>
      </c>
    </row>
    <row r="914">
      <c r="B914" s="6" t="s">
        <v>919</v>
      </c>
    </row>
    <row r="915">
      <c r="B915" s="6" t="s">
        <v>919</v>
      </c>
    </row>
  </sheetData>
  <mergeCells count="1">
    <mergeCell ref="B2:D2"/>
  </mergeCells>
  <drawing r:id="rId1"/>
</worksheet>
</file>