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rincipal" sheetId="1" r:id="rId1"/>
    <sheet name="Estatísticas" sheetId="2" r:id="rId2"/>
  </sheets>
  <definedNames>
    <definedName name="Escudo">INDEX(Principal!#REF!,MATCH(Principal!$C$2,Estatísticas!$A$2:$A$51,0))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9" i="1" l="1"/>
  <c r="B55" i="2" l="1"/>
  <c r="B54" i="2" l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H17" i="2"/>
  <c r="B17" i="2"/>
  <c r="H16" i="2"/>
  <c r="B16" i="2"/>
  <c r="H15" i="2"/>
  <c r="B15" i="2"/>
  <c r="H14" i="2"/>
  <c r="B14" i="2"/>
  <c r="H13" i="2"/>
  <c r="B13" i="2"/>
  <c r="H12" i="2"/>
  <c r="B12" i="2"/>
  <c r="H11" i="2"/>
  <c r="B11" i="2"/>
  <c r="H10" i="2"/>
  <c r="B10" i="2"/>
  <c r="H9" i="2"/>
  <c r="F9" i="2"/>
  <c r="B9" i="2"/>
  <c r="J8" i="2"/>
  <c r="I8" i="2"/>
  <c r="H8" i="2"/>
  <c r="F8" i="2"/>
  <c r="B8" i="2"/>
  <c r="H7" i="2"/>
  <c r="F7" i="2"/>
  <c r="D7" i="2"/>
  <c r="B7" i="2"/>
  <c r="H6" i="2"/>
  <c r="F6" i="2"/>
  <c r="D6" i="2"/>
  <c r="B6" i="2"/>
  <c r="J5" i="2"/>
  <c r="I5" i="2"/>
  <c r="H5" i="2"/>
  <c r="F5" i="2"/>
  <c r="D5" i="2"/>
  <c r="B5" i="2"/>
  <c r="H4" i="2"/>
  <c r="F4" i="2"/>
  <c r="D4" i="2"/>
  <c r="B4" i="2"/>
  <c r="H3" i="2"/>
  <c r="F3" i="2"/>
  <c r="D3" i="2"/>
  <c r="B3" i="2"/>
  <c r="K2" i="2"/>
  <c r="J2" i="2"/>
  <c r="I2" i="2"/>
  <c r="H2" i="2"/>
  <c r="F2" i="2"/>
  <c r="D2" i="2"/>
  <c r="B2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</calcChain>
</file>

<file path=xl/sharedStrings.xml><?xml version="1.0" encoding="utf-8"?>
<sst xmlns="http://schemas.openxmlformats.org/spreadsheetml/2006/main" count="981" uniqueCount="125">
  <si>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</si>
  <si>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</si>
  <si>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</si>
  <si>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</si>
  <si>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</si>
  <si>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</si>
  <si>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</si>
  <si>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</si>
  <si>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</si>
  <si>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</si>
  <si>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</si>
  <si>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</si>
  <si>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</si>
  <si>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</si>
  <si>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</si>
  <si>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</si>
  <si>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</si>
  <si>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</si>
  <si>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</si>
  <si>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</si>
  <si>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</si>
  <si>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</si>
  <si>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</si>
  <si>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</si>
  <si>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</si>
  <si>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</si>
  <si>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</si>
  <si>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</si>
  <si>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</si>
  <si>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</si>
  <si>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</si>
  <si>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</si>
  <si>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</si>
  <si>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</si>
  <si>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</si>
  <si>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</si>
  <si>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</si>
  <si>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</si>
  <si>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</si>
  <si>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</si>
  <si>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</si>
  <si>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</si>
  <si>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</si>
  <si>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</si>
  <si>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</si>
  <si>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</si>
  <si>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</si>
  <si>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</si>
  <si>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</si>
  <si>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</si>
  <si>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</si>
  <si>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</si>
  <si>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</si>
  <si>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</si>
  <si>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</si>
  <si>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</si>
  <si>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</si>
  <si>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</si>
  <si>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</si>
  <si>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</si>
  <si>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</si>
  <si>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</si>
  <si>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</si>
  <si>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</si>
  <si>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</si>
  <si>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</si>
  <si>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</si>
  <si>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</si>
  <si>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</si>
  <si>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</si>
  <si>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</si>
  <si>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</si>
  <si>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</si>
  <si>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</si>
  <si>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</si>
  <si>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</si>
  <si>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</si>
  <si>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</si>
  <si>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</si>
  <si>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</si>
  <si>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</si>
  <si>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</si>
  <si>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</si>
  <si>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</si>
  <si>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</si>
  <si>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</si>
  <si>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</si>
  <si>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</si>
  <si>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</si>
  <si>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</si>
  <si>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</si>
  <si>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</si>
  <si>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</si>
  <si>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</si>
  <si>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</si>
  <si>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</si>
  <si>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</si>
  <si>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</si>
  <si>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</si>
  <si>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</si>
  <si>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</si>
  <si>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</si>
  <si>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</si>
  <si>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</si>
  <si>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</si>
  <si>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</si>
  <si>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</si>
  <si>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</si>
  <si>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</si>
  <si>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</si>
  <si>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</si>
  <si>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</si>
  <si>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</si>
  <si>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</si>
  <si>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</si>
  <si>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</si>
  <si>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</si>
  <si>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</si>
  <si>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</si>
  <si>
    <t>Escudo</t>
  </si>
  <si>
    <t>Nacional-PAR</t>
  </si>
  <si>
    <t>Atlético-MG</t>
  </si>
  <si>
    <t>Treino aberto</t>
  </si>
  <si>
    <t>BOTAFOGO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</si>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</sst>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2" borderId="2" xfId="0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384401</xdr:colOff>
      <xdr:row>1</xdr:row>
      <xdr:rowOff>109990</xdr:rowOff>
    </xdr:from>
    <xdr:to>
      <xdr:col>1</xdr:col>
      <xdr:colOff>1571624</xdr:colOff>
      <xdr:row>1</xdr:row>
      <xdr:rowOff>1483063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901" y="467178"/>
          <a:ext cx="1187223" cy="1373073"/>
        </a:xfrm>
        <a:prstGeom prst="rect">
          <a:avLst/>
        </a:prstGeom>
      </xdr:spPr>
    </xdr:pic>
    <xdr:clientData/>
  </xdr:twoCellAnchor>
  <xdr:twoCellAnchor editAs="oneCell">
    <xdr:from>
      <xdr:col>1</xdr:col>
      <xdr:colOff>337911</xdr:colOff>
      <xdr:row>2</xdr:row>
      <xdr:rowOff>122466</xdr:rowOff>
    </xdr:from>
    <xdr:to>
      <xdr:col>1</xdr:col>
      <xdr:colOff>1524001</xdr:colOff>
      <xdr:row>2</xdr:row>
      <xdr:rowOff>1308556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411" y="2051279"/>
          <a:ext cx="1186090" cy="1186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1600200</xdr:colOff>
      <xdr:row>3</xdr:row>
      <xdr:rowOff>1447800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44805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152401</xdr:rowOff>
    </xdr:from>
    <xdr:to>
      <xdr:col>1</xdr:col>
      <xdr:colOff>1768766</xdr:colOff>
      <xdr:row>4</xdr:row>
      <xdr:rowOff>1352551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067301"/>
          <a:ext cx="1673516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5</xdr:row>
      <xdr:rowOff>183695</xdr:rowOff>
    </xdr:from>
    <xdr:to>
      <xdr:col>1</xdr:col>
      <xdr:colOff>1452788</xdr:colOff>
      <xdr:row>5</xdr:row>
      <xdr:rowOff>1390214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66606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</xdr:row>
      <xdr:rowOff>114300</xdr:rowOff>
    </xdr:from>
    <xdr:to>
      <xdr:col>1</xdr:col>
      <xdr:colOff>1583085</xdr:colOff>
      <xdr:row>6</xdr:row>
      <xdr:rowOff>1466850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53400"/>
          <a:ext cx="1354485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7</xdr:row>
      <xdr:rowOff>19050</xdr:rowOff>
    </xdr:from>
    <xdr:to>
      <xdr:col>1</xdr:col>
      <xdr:colOff>1543051</xdr:colOff>
      <xdr:row>7</xdr:row>
      <xdr:rowOff>1489090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9620250"/>
          <a:ext cx="1200150" cy="147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</xdr:rowOff>
    </xdr:from>
    <xdr:to>
      <xdr:col>1</xdr:col>
      <xdr:colOff>1852613</xdr:colOff>
      <xdr:row>8</xdr:row>
      <xdr:rowOff>1555242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1182350"/>
          <a:ext cx="1828800" cy="153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9</xdr:row>
      <xdr:rowOff>-1</xdr:rowOff>
    </xdr:from>
    <xdr:to>
      <xdr:col>1</xdr:col>
      <xdr:colOff>1466850</xdr:colOff>
      <xdr:row>9</xdr:row>
      <xdr:rowOff>1548670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2725399"/>
          <a:ext cx="1104900" cy="1548671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10</xdr:row>
      <xdr:rowOff>145595</xdr:rowOff>
    </xdr:from>
    <xdr:to>
      <xdr:col>1</xdr:col>
      <xdr:colOff>1433738</xdr:colOff>
      <xdr:row>10</xdr:row>
      <xdr:rowOff>1352114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44330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114300</xdr:rowOff>
    </xdr:from>
    <xdr:to>
      <xdr:col>1</xdr:col>
      <xdr:colOff>1600200</xdr:colOff>
      <xdr:row>11</xdr:row>
      <xdr:rowOff>1466850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596390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12</xdr:row>
      <xdr:rowOff>38100</xdr:rowOff>
    </xdr:from>
    <xdr:to>
      <xdr:col>1</xdr:col>
      <xdr:colOff>1657350</xdr:colOff>
      <xdr:row>12</xdr:row>
      <xdr:rowOff>1524000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744980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1695450</xdr:colOff>
      <xdr:row>13</xdr:row>
      <xdr:rowOff>1543050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899285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14</xdr:row>
      <xdr:rowOff>95251</xdr:rowOff>
    </xdr:from>
    <xdr:to>
      <xdr:col>1</xdr:col>
      <xdr:colOff>1581151</xdr:colOff>
      <xdr:row>15</xdr:row>
      <xdr:rowOff>12282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20631151"/>
          <a:ext cx="1314450" cy="147913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15</xdr:row>
      <xdr:rowOff>38100</xdr:rowOff>
    </xdr:from>
    <xdr:to>
      <xdr:col>1</xdr:col>
      <xdr:colOff>1577318</xdr:colOff>
      <xdr:row>16</xdr:row>
      <xdr:rowOff>38100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2136100"/>
          <a:ext cx="1234418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16</xdr:row>
      <xdr:rowOff>57150</xdr:rowOff>
    </xdr:from>
    <xdr:to>
      <xdr:col>1</xdr:col>
      <xdr:colOff>1657350</xdr:colOff>
      <xdr:row>16</xdr:row>
      <xdr:rowOff>1504950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7172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17</xdr:row>
      <xdr:rowOff>38100</xdr:rowOff>
    </xdr:from>
    <xdr:to>
      <xdr:col>1</xdr:col>
      <xdr:colOff>1428750</xdr:colOff>
      <xdr:row>17</xdr:row>
      <xdr:rowOff>1503199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5260300"/>
          <a:ext cx="1085850" cy="14650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18</xdr:row>
      <xdr:rowOff>38100</xdr:rowOff>
    </xdr:from>
    <xdr:to>
      <xdr:col>1</xdr:col>
      <xdr:colOff>1600200</xdr:colOff>
      <xdr:row>18</xdr:row>
      <xdr:rowOff>1507998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6822400"/>
          <a:ext cx="1371600" cy="146989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19</xdr:row>
      <xdr:rowOff>38101</xdr:rowOff>
    </xdr:from>
    <xdr:to>
      <xdr:col>1</xdr:col>
      <xdr:colOff>1657351</xdr:colOff>
      <xdr:row>19</xdr:row>
      <xdr:rowOff>1543051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8384501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20</xdr:row>
      <xdr:rowOff>38100</xdr:rowOff>
    </xdr:from>
    <xdr:to>
      <xdr:col>1</xdr:col>
      <xdr:colOff>1714501</xdr:colOff>
      <xdr:row>21</xdr:row>
      <xdr:rowOff>6858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946600"/>
          <a:ext cx="1562100" cy="15308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</xdr:row>
      <xdr:rowOff>1547813</xdr:rowOff>
    </xdr:from>
    <xdr:to>
      <xdr:col>1</xdr:col>
      <xdr:colOff>1785937</xdr:colOff>
      <xdr:row>22</xdr:row>
      <xdr:rowOff>95250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31623001"/>
          <a:ext cx="1690687" cy="16906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22</xdr:row>
      <xdr:rowOff>47625</xdr:rowOff>
    </xdr:from>
    <xdr:to>
      <xdr:col>1</xdr:col>
      <xdr:colOff>1738312</xdr:colOff>
      <xdr:row>22</xdr:row>
      <xdr:rowOff>1524000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332660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23</xdr:row>
      <xdr:rowOff>119062</xdr:rowOff>
    </xdr:from>
    <xdr:to>
      <xdr:col>1</xdr:col>
      <xdr:colOff>1556985</xdr:colOff>
      <xdr:row>23</xdr:row>
      <xdr:rowOff>1476374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34909125"/>
          <a:ext cx="124742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119062</xdr:rowOff>
    </xdr:from>
    <xdr:to>
      <xdr:col>1</xdr:col>
      <xdr:colOff>1595437</xdr:colOff>
      <xdr:row>24</xdr:row>
      <xdr:rowOff>1428749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480750"/>
          <a:ext cx="1309687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25</xdr:row>
      <xdr:rowOff>47626</xdr:rowOff>
    </xdr:from>
    <xdr:to>
      <xdr:col>1</xdr:col>
      <xdr:colOff>1666876</xdr:colOff>
      <xdr:row>25</xdr:row>
      <xdr:rowOff>1500188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37980939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26</xdr:row>
      <xdr:rowOff>23812</xdr:rowOff>
    </xdr:from>
    <xdr:to>
      <xdr:col>1</xdr:col>
      <xdr:colOff>1762125</xdr:colOff>
      <xdr:row>27</xdr:row>
      <xdr:rowOff>95249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39528750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309564</xdr:colOff>
      <xdr:row>27</xdr:row>
      <xdr:rowOff>71438</xdr:rowOff>
    </xdr:from>
    <xdr:to>
      <xdr:col>1</xdr:col>
      <xdr:colOff>1573183</xdr:colOff>
      <xdr:row>27</xdr:row>
      <xdr:rowOff>1523999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4114800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342902</xdr:colOff>
      <xdr:row>28</xdr:row>
      <xdr:rowOff>80963</xdr:rowOff>
    </xdr:from>
    <xdr:to>
      <xdr:col>1</xdr:col>
      <xdr:colOff>1606521</xdr:colOff>
      <xdr:row>28</xdr:row>
      <xdr:rowOff>1533524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2" y="4272915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29</xdr:row>
      <xdr:rowOff>71438</xdr:rowOff>
    </xdr:from>
    <xdr:to>
      <xdr:col>1</xdr:col>
      <xdr:colOff>1571624</xdr:colOff>
      <xdr:row>29</xdr:row>
      <xdr:rowOff>1529943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44291251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30</xdr:row>
      <xdr:rowOff>23812</xdr:rowOff>
    </xdr:from>
    <xdr:to>
      <xdr:col>1</xdr:col>
      <xdr:colOff>1714499</xdr:colOff>
      <xdr:row>31</xdr:row>
      <xdr:rowOff>-1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45815250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31</xdr:row>
      <xdr:rowOff>119063</xdr:rowOff>
    </xdr:from>
    <xdr:to>
      <xdr:col>1</xdr:col>
      <xdr:colOff>1595438</xdr:colOff>
      <xdr:row>31</xdr:row>
      <xdr:rowOff>1476375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4748212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304802</xdr:colOff>
      <xdr:row>32</xdr:row>
      <xdr:rowOff>66675</xdr:rowOff>
    </xdr:from>
    <xdr:to>
      <xdr:col>1</xdr:col>
      <xdr:colOff>1568421</xdr:colOff>
      <xdr:row>32</xdr:row>
      <xdr:rowOff>1519236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2" y="49001363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33</xdr:row>
      <xdr:rowOff>47625</xdr:rowOff>
    </xdr:from>
    <xdr:to>
      <xdr:col>1</xdr:col>
      <xdr:colOff>1690688</xdr:colOff>
      <xdr:row>34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50553938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</xdr:colOff>
      <xdr:row>34</xdr:row>
      <xdr:rowOff>57151</xdr:rowOff>
    </xdr:from>
    <xdr:to>
      <xdr:col>1</xdr:col>
      <xdr:colOff>1581149</xdr:colOff>
      <xdr:row>34</xdr:row>
      <xdr:rowOff>1515656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2" y="52135089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35</xdr:row>
      <xdr:rowOff>95250</xdr:rowOff>
    </xdr:from>
    <xdr:to>
      <xdr:col>1</xdr:col>
      <xdr:colOff>1559443</xdr:colOff>
      <xdr:row>35</xdr:row>
      <xdr:rowOff>1523999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744813"/>
          <a:ext cx="1226068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95250</xdr:rowOff>
    </xdr:from>
    <xdr:to>
      <xdr:col>1</xdr:col>
      <xdr:colOff>1619249</xdr:colOff>
      <xdr:row>36</xdr:row>
      <xdr:rowOff>1523999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31643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37</xdr:row>
      <xdr:rowOff>119063</xdr:rowOff>
    </xdr:from>
    <xdr:to>
      <xdr:col>1</xdr:col>
      <xdr:colOff>1595437</xdr:colOff>
      <xdr:row>37</xdr:row>
      <xdr:rowOff>1500188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56911876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71438</xdr:rowOff>
    </xdr:from>
    <xdr:to>
      <xdr:col>1</xdr:col>
      <xdr:colOff>1690687</xdr:colOff>
      <xdr:row>39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8435876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39</xdr:row>
      <xdr:rowOff>95250</xdr:rowOff>
    </xdr:from>
    <xdr:to>
      <xdr:col>1</xdr:col>
      <xdr:colOff>1666875</xdr:colOff>
      <xdr:row>39</xdr:row>
      <xdr:rowOff>1476375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6003131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</xdr:colOff>
      <xdr:row>40</xdr:row>
      <xdr:rowOff>80963</xdr:rowOff>
    </xdr:from>
    <xdr:to>
      <xdr:col>1</xdr:col>
      <xdr:colOff>1604962</xdr:colOff>
      <xdr:row>40</xdr:row>
      <xdr:rowOff>1462088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" y="6158865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41</xdr:row>
      <xdr:rowOff>119063</xdr:rowOff>
    </xdr:from>
    <xdr:to>
      <xdr:col>1</xdr:col>
      <xdr:colOff>1643062</xdr:colOff>
      <xdr:row>41</xdr:row>
      <xdr:rowOff>1452562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31983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42</xdr:row>
      <xdr:rowOff>71438</xdr:rowOff>
    </xdr:from>
    <xdr:to>
      <xdr:col>1</xdr:col>
      <xdr:colOff>1571625</xdr:colOff>
      <xdr:row>42</xdr:row>
      <xdr:rowOff>1531066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4722376"/>
          <a:ext cx="1262062" cy="145962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43</xdr:row>
      <xdr:rowOff>95251</xdr:rowOff>
    </xdr:from>
    <xdr:to>
      <xdr:col>1</xdr:col>
      <xdr:colOff>1619248</xdr:colOff>
      <xdr:row>43</xdr:row>
      <xdr:rowOff>1500186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6317814"/>
          <a:ext cx="1404935" cy="140493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44</xdr:row>
      <xdr:rowOff>166687</xdr:rowOff>
    </xdr:from>
    <xdr:to>
      <xdr:col>1</xdr:col>
      <xdr:colOff>1712885</xdr:colOff>
      <xdr:row>44</xdr:row>
      <xdr:rowOff>1309686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" y="67960875"/>
          <a:ext cx="1593823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45</xdr:row>
      <xdr:rowOff>23813</xdr:rowOff>
    </xdr:from>
    <xdr:to>
      <xdr:col>1</xdr:col>
      <xdr:colOff>1690688</xdr:colOff>
      <xdr:row>45</xdr:row>
      <xdr:rowOff>1547813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69389626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46</xdr:row>
      <xdr:rowOff>95250</xdr:rowOff>
    </xdr:from>
    <xdr:to>
      <xdr:col>1</xdr:col>
      <xdr:colOff>1666873</xdr:colOff>
      <xdr:row>47</xdr:row>
      <xdr:rowOff>-1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7103268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47</xdr:row>
      <xdr:rowOff>119062</xdr:rowOff>
    </xdr:from>
    <xdr:to>
      <xdr:col>1</xdr:col>
      <xdr:colOff>1571624</xdr:colOff>
      <xdr:row>47</xdr:row>
      <xdr:rowOff>1452561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2628125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</xdr:row>
      <xdr:rowOff>71437</xdr:rowOff>
    </xdr:from>
    <xdr:to>
      <xdr:col>1</xdr:col>
      <xdr:colOff>1690687</xdr:colOff>
      <xdr:row>48</xdr:row>
      <xdr:rowOff>1519501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4152125"/>
          <a:ext cx="1547812" cy="144806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49</xdr:row>
      <xdr:rowOff>95250</xdr:rowOff>
    </xdr:from>
    <xdr:to>
      <xdr:col>1</xdr:col>
      <xdr:colOff>1623138</xdr:colOff>
      <xdr:row>49</xdr:row>
      <xdr:rowOff>1452562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75747563"/>
          <a:ext cx="13850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50</xdr:row>
      <xdr:rowOff>95250</xdr:rowOff>
    </xdr:from>
    <xdr:to>
      <xdr:col>1</xdr:col>
      <xdr:colOff>1643061</xdr:colOff>
      <xdr:row>50</xdr:row>
      <xdr:rowOff>1523999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77319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51</xdr:row>
      <xdr:rowOff>119063</xdr:rowOff>
    </xdr:from>
    <xdr:to>
      <xdr:col>1</xdr:col>
      <xdr:colOff>1619250</xdr:colOff>
      <xdr:row>51</xdr:row>
      <xdr:rowOff>1452563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914626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71438</xdr:rowOff>
    </xdr:from>
    <xdr:to>
      <xdr:col>1</xdr:col>
      <xdr:colOff>1619250</xdr:colOff>
      <xdr:row>52</xdr:row>
      <xdr:rowOff>1500188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0438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53</xdr:row>
      <xdr:rowOff>71437</xdr:rowOff>
    </xdr:from>
    <xdr:to>
      <xdr:col>1</xdr:col>
      <xdr:colOff>1476375</xdr:colOff>
      <xdr:row>53</xdr:row>
      <xdr:rowOff>1460182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2010250"/>
          <a:ext cx="114300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404812</xdr:colOff>
      <xdr:row>54</xdr:row>
      <xdr:rowOff>119065</xdr:rowOff>
    </xdr:from>
    <xdr:to>
      <xdr:col>1</xdr:col>
      <xdr:colOff>1393127</xdr:colOff>
      <xdr:row>54</xdr:row>
      <xdr:rowOff>1452563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83629503"/>
          <a:ext cx="988315" cy="1333498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55</xdr:row>
      <xdr:rowOff>166687</xdr:rowOff>
    </xdr:from>
    <xdr:to>
      <xdr:col>1</xdr:col>
      <xdr:colOff>1595438</xdr:colOff>
      <xdr:row>55</xdr:row>
      <xdr:rowOff>1500187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8524875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56</xdr:row>
      <xdr:rowOff>71439</xdr:rowOff>
    </xdr:from>
    <xdr:to>
      <xdr:col>1</xdr:col>
      <xdr:colOff>1571625</xdr:colOff>
      <xdr:row>56</xdr:row>
      <xdr:rowOff>1558607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6725127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57</xdr:row>
      <xdr:rowOff>95250</xdr:rowOff>
    </xdr:from>
    <xdr:to>
      <xdr:col>1</xdr:col>
      <xdr:colOff>1666875</xdr:colOff>
      <xdr:row>58</xdr:row>
      <xdr:rowOff>0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83205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58</xdr:row>
      <xdr:rowOff>71437</xdr:rowOff>
    </xdr:from>
    <xdr:to>
      <xdr:col>1</xdr:col>
      <xdr:colOff>1690686</xdr:colOff>
      <xdr:row>59</xdr:row>
      <xdr:rowOff>-1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89868375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59</xdr:row>
      <xdr:rowOff>119062</xdr:rowOff>
    </xdr:from>
    <xdr:to>
      <xdr:col>1</xdr:col>
      <xdr:colOff>1485632</xdr:colOff>
      <xdr:row>59</xdr:row>
      <xdr:rowOff>1404936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1487625"/>
          <a:ext cx="1199882" cy="1285874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176212</xdr:colOff>
      <xdr:row>60</xdr:row>
      <xdr:rowOff>57149</xdr:rowOff>
    </xdr:from>
    <xdr:to>
      <xdr:col>1</xdr:col>
      <xdr:colOff>1676399</xdr:colOff>
      <xdr:row>60</xdr:row>
      <xdr:rowOff>1557336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212" y="92997337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61</xdr:row>
      <xdr:rowOff>94214</xdr:rowOff>
    </xdr:from>
    <xdr:to>
      <xdr:col>1</xdr:col>
      <xdr:colOff>1643063</xdr:colOff>
      <xdr:row>61</xdr:row>
      <xdr:rowOff>1531006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4606027"/>
          <a:ext cx="1452563" cy="143679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1</xdr:col>
      <xdr:colOff>1573122</xdr:colOff>
      <xdr:row>63</xdr:row>
      <xdr:rowOff>23812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6178688"/>
          <a:ext cx="1287372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63</xdr:row>
      <xdr:rowOff>119063</xdr:rowOff>
    </xdr:from>
    <xdr:to>
      <xdr:col>1</xdr:col>
      <xdr:colOff>1536997</xdr:colOff>
      <xdr:row>63</xdr:row>
      <xdr:rowOff>1452562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97774126"/>
          <a:ext cx="127505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63</xdr:row>
      <xdr:rowOff>1524000</xdr:rowOff>
    </xdr:from>
    <xdr:to>
      <xdr:col>1</xdr:col>
      <xdr:colOff>1547812</xdr:colOff>
      <xdr:row>64</xdr:row>
      <xdr:rowOff>1396625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99179063"/>
          <a:ext cx="1238250" cy="1444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65</xdr:row>
      <xdr:rowOff>166688</xdr:rowOff>
    </xdr:from>
    <xdr:to>
      <xdr:col>1</xdr:col>
      <xdr:colOff>1524000</xdr:colOff>
      <xdr:row>65</xdr:row>
      <xdr:rowOff>1488110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00965001"/>
          <a:ext cx="1214437" cy="13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66</xdr:row>
      <xdr:rowOff>142876</xdr:rowOff>
    </xdr:from>
    <xdr:to>
      <xdr:col>1</xdr:col>
      <xdr:colOff>1762125</xdr:colOff>
      <xdr:row>66</xdr:row>
      <xdr:rowOff>1321186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102512814"/>
          <a:ext cx="1643062" cy="11783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67</xdr:row>
      <xdr:rowOff>95250</xdr:rowOff>
    </xdr:from>
    <xdr:to>
      <xdr:col>1</xdr:col>
      <xdr:colOff>1619251</xdr:colOff>
      <xdr:row>67</xdr:row>
      <xdr:rowOff>1525225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04036813"/>
          <a:ext cx="1428750" cy="14299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23813</xdr:rowOff>
    </xdr:from>
    <xdr:to>
      <xdr:col>1</xdr:col>
      <xdr:colOff>1714499</xdr:colOff>
      <xdr:row>69</xdr:row>
      <xdr:rowOff>23812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05537001"/>
          <a:ext cx="1571624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69</xdr:row>
      <xdr:rowOff>95250</xdr:rowOff>
    </xdr:from>
    <xdr:to>
      <xdr:col>1</xdr:col>
      <xdr:colOff>1666875</xdr:colOff>
      <xdr:row>69</xdr:row>
      <xdr:rowOff>1478851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07180063"/>
          <a:ext cx="1500187" cy="1383601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70</xdr:row>
      <xdr:rowOff>23814</xdr:rowOff>
    </xdr:from>
    <xdr:to>
      <xdr:col>1</xdr:col>
      <xdr:colOff>1598677</xdr:colOff>
      <xdr:row>71</xdr:row>
      <xdr:rowOff>23813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08680252"/>
          <a:ext cx="1336740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71438</xdr:rowOff>
    </xdr:from>
    <xdr:to>
      <xdr:col>1</xdr:col>
      <xdr:colOff>1690687</xdr:colOff>
      <xdr:row>71</xdr:row>
      <xdr:rowOff>1466399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0299501"/>
          <a:ext cx="1500187" cy="13949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72</xdr:row>
      <xdr:rowOff>23812</xdr:rowOff>
    </xdr:from>
    <xdr:to>
      <xdr:col>1</xdr:col>
      <xdr:colOff>1666875</xdr:colOff>
      <xdr:row>72</xdr:row>
      <xdr:rowOff>1523999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11823500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73</xdr:row>
      <xdr:rowOff>119062</xdr:rowOff>
    </xdr:from>
    <xdr:to>
      <xdr:col>1</xdr:col>
      <xdr:colOff>1643062</xdr:colOff>
      <xdr:row>73</xdr:row>
      <xdr:rowOff>1547812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3490375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74</xdr:row>
      <xdr:rowOff>104774</xdr:rowOff>
    </xdr:from>
    <xdr:to>
      <xdr:col>1</xdr:col>
      <xdr:colOff>1676399</xdr:colOff>
      <xdr:row>74</xdr:row>
      <xdr:rowOff>1533524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115047712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75</xdr:row>
      <xdr:rowOff>71438</xdr:rowOff>
    </xdr:from>
    <xdr:to>
      <xdr:col>1</xdr:col>
      <xdr:colOff>1476375</xdr:colOff>
      <xdr:row>75</xdr:row>
      <xdr:rowOff>1558372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6586001"/>
          <a:ext cx="1095375" cy="148693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76</xdr:row>
      <xdr:rowOff>142875</xdr:rowOff>
    </xdr:from>
    <xdr:to>
      <xdr:col>1</xdr:col>
      <xdr:colOff>1634357</xdr:colOff>
      <xdr:row>76</xdr:row>
      <xdr:rowOff>1452562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8229063"/>
          <a:ext cx="1420045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77</xdr:row>
      <xdr:rowOff>95250</xdr:rowOff>
    </xdr:from>
    <xdr:to>
      <xdr:col>1</xdr:col>
      <xdr:colOff>1595437</xdr:colOff>
      <xdr:row>77</xdr:row>
      <xdr:rowOff>1452562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1975306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78</xdr:row>
      <xdr:rowOff>95250</xdr:rowOff>
    </xdr:from>
    <xdr:to>
      <xdr:col>1</xdr:col>
      <xdr:colOff>1595438</xdr:colOff>
      <xdr:row>78</xdr:row>
      <xdr:rowOff>1476375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21324688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79</xdr:row>
      <xdr:rowOff>95251</xdr:rowOff>
    </xdr:from>
    <xdr:to>
      <xdr:col>1</xdr:col>
      <xdr:colOff>1524000</xdr:colOff>
      <xdr:row>79</xdr:row>
      <xdr:rowOff>1472259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22896314"/>
          <a:ext cx="1190625" cy="13770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80</xdr:row>
      <xdr:rowOff>0</xdr:rowOff>
    </xdr:from>
    <xdr:to>
      <xdr:col>1</xdr:col>
      <xdr:colOff>1714499</xdr:colOff>
      <xdr:row>81</xdr:row>
      <xdr:rowOff>71437</xdr:rowOff>
    </xdr:to>
    <xdr:pic>
      <xdr:nvPicPr>
        <xdr:cNvPr id="85" name="Imagem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124372688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81</xdr:row>
      <xdr:rowOff>71439</xdr:rowOff>
    </xdr:from>
    <xdr:to>
      <xdr:col>1</xdr:col>
      <xdr:colOff>1571626</xdr:colOff>
      <xdr:row>81</xdr:row>
      <xdr:rowOff>1558543</xdr:rowOff>
    </xdr:to>
    <xdr:pic>
      <xdr:nvPicPr>
        <xdr:cNvPr id="86" name="Imagem 85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26015752"/>
          <a:ext cx="1238250" cy="14871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82</xdr:row>
      <xdr:rowOff>95250</xdr:rowOff>
    </xdr:from>
    <xdr:to>
      <xdr:col>1</xdr:col>
      <xdr:colOff>1666875</xdr:colOff>
      <xdr:row>82</xdr:row>
      <xdr:rowOff>1521959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27611188"/>
          <a:ext cx="1428750" cy="14267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83</xdr:row>
      <xdr:rowOff>95250</xdr:rowOff>
    </xdr:from>
    <xdr:to>
      <xdr:col>1</xdr:col>
      <xdr:colOff>1666761</xdr:colOff>
      <xdr:row>83</xdr:row>
      <xdr:rowOff>1476374</xdr:rowOff>
    </xdr:to>
    <xdr:pic>
      <xdr:nvPicPr>
        <xdr:cNvPr id="88" name="Imagem 8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29182813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84</xdr:row>
      <xdr:rowOff>47625</xdr:rowOff>
    </xdr:from>
    <xdr:to>
      <xdr:col>1</xdr:col>
      <xdr:colOff>1666874</xdr:colOff>
      <xdr:row>84</xdr:row>
      <xdr:rowOff>1547812</xdr:rowOff>
    </xdr:to>
    <xdr:pic>
      <xdr:nvPicPr>
        <xdr:cNvPr id="89" name="Imagem 8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070681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85</xdr:row>
      <xdr:rowOff>47625</xdr:rowOff>
    </xdr:from>
    <xdr:to>
      <xdr:col>1</xdr:col>
      <xdr:colOff>1476375</xdr:colOff>
      <xdr:row>85</xdr:row>
      <xdr:rowOff>1525576</xdr:rowOff>
    </xdr:to>
    <xdr:pic>
      <xdr:nvPicPr>
        <xdr:cNvPr id="90" name="Imagem 8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32278438"/>
          <a:ext cx="1095375" cy="1477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86</xdr:row>
      <xdr:rowOff>119063</xdr:rowOff>
    </xdr:from>
    <xdr:to>
      <xdr:col>1</xdr:col>
      <xdr:colOff>1666875</xdr:colOff>
      <xdr:row>86</xdr:row>
      <xdr:rowOff>1507808</xdr:rowOff>
    </xdr:to>
    <xdr:pic>
      <xdr:nvPicPr>
        <xdr:cNvPr id="91" name="Imagem 90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33921501"/>
          <a:ext cx="142875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87</xdr:row>
      <xdr:rowOff>71438</xdr:rowOff>
    </xdr:from>
    <xdr:to>
      <xdr:col>1</xdr:col>
      <xdr:colOff>1595438</xdr:colOff>
      <xdr:row>87</xdr:row>
      <xdr:rowOff>1557716</xdr:rowOff>
    </xdr:to>
    <xdr:pic>
      <xdr:nvPicPr>
        <xdr:cNvPr id="92" name="Imagem 9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35445501"/>
          <a:ext cx="1381125" cy="1495803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88</xdr:row>
      <xdr:rowOff>0</xdr:rowOff>
    </xdr:from>
    <xdr:to>
      <xdr:col>1</xdr:col>
      <xdr:colOff>1714499</xdr:colOff>
      <xdr:row>88</xdr:row>
      <xdr:rowOff>1547812</xdr:rowOff>
    </xdr:to>
    <xdr:pic>
      <xdr:nvPicPr>
        <xdr:cNvPr id="93" name="Imagem 92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6945688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89</xdr:row>
      <xdr:rowOff>95250</xdr:rowOff>
    </xdr:from>
    <xdr:to>
      <xdr:col>1</xdr:col>
      <xdr:colOff>1619249</xdr:colOff>
      <xdr:row>89</xdr:row>
      <xdr:rowOff>1500187</xdr:rowOff>
    </xdr:to>
    <xdr:pic>
      <xdr:nvPicPr>
        <xdr:cNvPr id="94" name="Imagem 9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3861256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90</xdr:row>
      <xdr:rowOff>47625</xdr:rowOff>
    </xdr:from>
    <xdr:to>
      <xdr:col>1</xdr:col>
      <xdr:colOff>1690687</xdr:colOff>
      <xdr:row>90</xdr:row>
      <xdr:rowOff>1547812</xdr:rowOff>
    </xdr:to>
    <xdr:pic>
      <xdr:nvPicPr>
        <xdr:cNvPr id="95" name="Imagem 9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01365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261939</xdr:colOff>
      <xdr:row>91</xdr:row>
      <xdr:rowOff>0</xdr:rowOff>
    </xdr:from>
    <xdr:to>
      <xdr:col>1</xdr:col>
      <xdr:colOff>1595439</xdr:colOff>
      <xdr:row>91</xdr:row>
      <xdr:rowOff>1542249</xdr:rowOff>
    </xdr:to>
    <xdr:pic>
      <xdr:nvPicPr>
        <xdr:cNvPr id="96" name="Imagem 9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9" y="14166056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92</xdr:row>
      <xdr:rowOff>33338</xdr:rowOff>
    </xdr:from>
    <xdr:to>
      <xdr:col>1</xdr:col>
      <xdr:colOff>1604964</xdr:colOff>
      <xdr:row>93</xdr:row>
      <xdr:rowOff>3962</xdr:rowOff>
    </xdr:to>
    <xdr:pic>
      <xdr:nvPicPr>
        <xdr:cNvPr id="97" name="Imagem 96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4" y="143265526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93</xdr:row>
      <xdr:rowOff>57150</xdr:rowOff>
    </xdr:from>
    <xdr:to>
      <xdr:col>1</xdr:col>
      <xdr:colOff>1700212</xdr:colOff>
      <xdr:row>93</xdr:row>
      <xdr:rowOff>1557337</xdr:rowOff>
    </xdr:to>
    <xdr:pic>
      <xdr:nvPicPr>
        <xdr:cNvPr id="98" name="Imagem 9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448609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94</xdr:row>
      <xdr:rowOff>23813</xdr:rowOff>
    </xdr:from>
    <xdr:to>
      <xdr:col>1</xdr:col>
      <xdr:colOff>1643201</xdr:colOff>
      <xdr:row>94</xdr:row>
      <xdr:rowOff>1542607</xdr:rowOff>
    </xdr:to>
    <xdr:pic>
      <xdr:nvPicPr>
        <xdr:cNvPr id="99" name="Imagem 9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46399251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95</xdr:row>
      <xdr:rowOff>71437</xdr:rowOff>
    </xdr:from>
    <xdr:to>
      <xdr:col>1</xdr:col>
      <xdr:colOff>1690688</xdr:colOff>
      <xdr:row>95</xdr:row>
      <xdr:rowOff>1541930</xdr:rowOff>
    </xdr:to>
    <xdr:pic>
      <xdr:nvPicPr>
        <xdr:cNvPr id="100" name="Imagem 99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48018500"/>
          <a:ext cx="1476375" cy="1470493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96</xdr:row>
      <xdr:rowOff>95250</xdr:rowOff>
    </xdr:from>
    <xdr:to>
      <xdr:col>1</xdr:col>
      <xdr:colOff>1437324</xdr:colOff>
      <xdr:row>96</xdr:row>
      <xdr:rowOff>1558293</xdr:rowOff>
    </xdr:to>
    <xdr:pic>
      <xdr:nvPicPr>
        <xdr:cNvPr id="101" name="Imagem 10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149613938"/>
          <a:ext cx="1127762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97</xdr:row>
      <xdr:rowOff>95250</xdr:rowOff>
    </xdr:from>
    <xdr:to>
      <xdr:col>1</xdr:col>
      <xdr:colOff>1595436</xdr:colOff>
      <xdr:row>97</xdr:row>
      <xdr:rowOff>1476374</xdr:rowOff>
    </xdr:to>
    <xdr:pic>
      <xdr:nvPicPr>
        <xdr:cNvPr id="102" name="Imagem 10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1185563"/>
          <a:ext cx="1381124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98</xdr:row>
      <xdr:rowOff>95250</xdr:rowOff>
    </xdr:from>
    <xdr:to>
      <xdr:col>1</xdr:col>
      <xdr:colOff>1619249</xdr:colOff>
      <xdr:row>98</xdr:row>
      <xdr:rowOff>1523999</xdr:rowOff>
    </xdr:to>
    <xdr:pic>
      <xdr:nvPicPr>
        <xdr:cNvPr id="103" name="Imagem 10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52757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99</xdr:row>
      <xdr:rowOff>95250</xdr:rowOff>
    </xdr:from>
    <xdr:to>
      <xdr:col>1</xdr:col>
      <xdr:colOff>1619249</xdr:colOff>
      <xdr:row>99</xdr:row>
      <xdr:rowOff>1498180</xdr:rowOff>
    </xdr:to>
    <xdr:pic>
      <xdr:nvPicPr>
        <xdr:cNvPr id="105" name="Imagem 104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4328813"/>
          <a:ext cx="1404937" cy="14029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100</xdr:row>
      <xdr:rowOff>47625</xdr:rowOff>
    </xdr:from>
    <xdr:to>
      <xdr:col>1</xdr:col>
      <xdr:colOff>1690688</xdr:colOff>
      <xdr:row>101</xdr:row>
      <xdr:rowOff>0</xdr:rowOff>
    </xdr:to>
    <xdr:pic>
      <xdr:nvPicPr>
        <xdr:cNvPr id="106" name="Imagem 10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55852813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101</xdr:row>
      <xdr:rowOff>71437</xdr:rowOff>
    </xdr:from>
    <xdr:to>
      <xdr:col>1</xdr:col>
      <xdr:colOff>1500187</xdr:colOff>
      <xdr:row>101</xdr:row>
      <xdr:rowOff>1553844</xdr:rowOff>
    </xdr:to>
    <xdr:pic>
      <xdr:nvPicPr>
        <xdr:cNvPr id="107" name="Imagem 106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57448250"/>
          <a:ext cx="1166812" cy="1482407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102</xdr:row>
      <xdr:rowOff>47626</xdr:rowOff>
    </xdr:from>
    <xdr:to>
      <xdr:col>1</xdr:col>
      <xdr:colOff>1519051</xdr:colOff>
      <xdr:row>102</xdr:row>
      <xdr:rowOff>1500187</xdr:rowOff>
    </xdr:to>
    <xdr:pic>
      <xdr:nvPicPr>
        <xdr:cNvPr id="108" name="Imagem 107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58996064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103</xdr:row>
      <xdr:rowOff>95251</xdr:rowOff>
    </xdr:from>
    <xdr:to>
      <xdr:col>1</xdr:col>
      <xdr:colOff>1547812</xdr:colOff>
      <xdr:row>103</xdr:row>
      <xdr:rowOff>1527338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0615314"/>
          <a:ext cx="1238249" cy="14320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104</xdr:row>
      <xdr:rowOff>47625</xdr:rowOff>
    </xdr:from>
    <xdr:to>
      <xdr:col>1</xdr:col>
      <xdr:colOff>1619388</xdr:colOff>
      <xdr:row>104</xdr:row>
      <xdr:rowOff>1566419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62139313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366713</xdr:colOff>
      <xdr:row>105</xdr:row>
      <xdr:rowOff>80964</xdr:rowOff>
    </xdr:from>
    <xdr:to>
      <xdr:col>1</xdr:col>
      <xdr:colOff>1576201</xdr:colOff>
      <xdr:row>105</xdr:row>
      <xdr:rowOff>1533525</xdr:rowOff>
    </xdr:to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63744277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106</xdr:row>
      <xdr:rowOff>47625</xdr:rowOff>
    </xdr:from>
    <xdr:to>
      <xdr:col>1</xdr:col>
      <xdr:colOff>1500188</xdr:colOff>
      <xdr:row>106</xdr:row>
      <xdr:rowOff>1502234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652825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107</xdr:row>
      <xdr:rowOff>95250</xdr:rowOff>
    </xdr:from>
    <xdr:to>
      <xdr:col>1</xdr:col>
      <xdr:colOff>1619250</xdr:colOff>
      <xdr:row>107</xdr:row>
      <xdr:rowOff>1500187</xdr:rowOff>
    </xdr:to>
    <xdr:pic>
      <xdr:nvPicPr>
        <xdr:cNvPr id="113" name="Imagem 11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690181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108</xdr:row>
      <xdr:rowOff>95250</xdr:rowOff>
    </xdr:from>
    <xdr:to>
      <xdr:col>1</xdr:col>
      <xdr:colOff>1619249</xdr:colOff>
      <xdr:row>108</xdr:row>
      <xdr:rowOff>1500187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68473438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109</xdr:row>
      <xdr:rowOff>95251</xdr:rowOff>
    </xdr:from>
    <xdr:to>
      <xdr:col>1</xdr:col>
      <xdr:colOff>1619249</xdr:colOff>
      <xdr:row>109</xdr:row>
      <xdr:rowOff>1476374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170045064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110</xdr:row>
      <xdr:rowOff>142875</xdr:rowOff>
    </xdr:from>
    <xdr:to>
      <xdr:col>1</xdr:col>
      <xdr:colOff>1595437</xdr:colOff>
      <xdr:row>110</xdr:row>
      <xdr:rowOff>1500187</xdr:rowOff>
    </xdr:to>
    <xdr:pic>
      <xdr:nvPicPr>
        <xdr:cNvPr id="116" name="Imagem 1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7166431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111</xdr:row>
      <xdr:rowOff>128588</xdr:rowOff>
    </xdr:from>
    <xdr:to>
      <xdr:col>1</xdr:col>
      <xdr:colOff>1604962</xdr:colOff>
      <xdr:row>111</xdr:row>
      <xdr:rowOff>1485900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73221651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280987</xdr:colOff>
      <xdr:row>112</xdr:row>
      <xdr:rowOff>90488</xdr:rowOff>
    </xdr:from>
    <xdr:to>
      <xdr:col>1</xdr:col>
      <xdr:colOff>1638299</xdr:colOff>
      <xdr:row>112</xdr:row>
      <xdr:rowOff>1447800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" y="17475517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247651</xdr:colOff>
      <xdr:row>113</xdr:row>
      <xdr:rowOff>104776</xdr:rowOff>
    </xdr:from>
    <xdr:to>
      <xdr:col>1</xdr:col>
      <xdr:colOff>1628774</xdr:colOff>
      <xdr:row>113</xdr:row>
      <xdr:rowOff>1485899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76341089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114</xdr:row>
      <xdr:rowOff>142874</xdr:rowOff>
    </xdr:from>
    <xdr:to>
      <xdr:col>1</xdr:col>
      <xdr:colOff>1648115</xdr:colOff>
      <xdr:row>114</xdr:row>
      <xdr:rowOff>1477992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7950812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115</xdr:row>
      <xdr:rowOff>71438</xdr:rowOff>
    </xdr:from>
    <xdr:to>
      <xdr:col>1</xdr:col>
      <xdr:colOff>1524000</xdr:colOff>
      <xdr:row>115</xdr:row>
      <xdr:rowOff>1486634</xdr:rowOff>
    </xdr:to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79451001"/>
          <a:ext cx="1214437" cy="141519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116</xdr:row>
      <xdr:rowOff>166687</xdr:rowOff>
    </xdr:from>
    <xdr:to>
      <xdr:col>1</xdr:col>
      <xdr:colOff>1563309</xdr:colOff>
      <xdr:row>116</xdr:row>
      <xdr:rowOff>1428749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81117875"/>
          <a:ext cx="1348997" cy="1262062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117</xdr:row>
      <xdr:rowOff>119062</xdr:rowOff>
    </xdr:from>
    <xdr:to>
      <xdr:col>1</xdr:col>
      <xdr:colOff>1666875</xdr:colOff>
      <xdr:row>117</xdr:row>
      <xdr:rowOff>1523999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2641875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47625</xdr:colOff>
      <xdr:row>119</xdr:row>
      <xdr:rowOff>28575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84094438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119</xdr:row>
      <xdr:rowOff>71439</xdr:rowOff>
    </xdr:from>
    <xdr:to>
      <xdr:col>1</xdr:col>
      <xdr:colOff>1571625</xdr:colOff>
      <xdr:row>119</xdr:row>
      <xdr:rowOff>1558607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85737502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120</xdr:row>
      <xdr:rowOff>47625</xdr:rowOff>
    </xdr:from>
    <xdr:to>
      <xdr:col>1</xdr:col>
      <xdr:colOff>1666875</xdr:colOff>
      <xdr:row>120</xdr:row>
      <xdr:rowOff>1524000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728531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121</xdr:row>
      <xdr:rowOff>147814</xdr:rowOff>
    </xdr:from>
    <xdr:to>
      <xdr:col>1</xdr:col>
      <xdr:colOff>1571626</xdr:colOff>
      <xdr:row>121</xdr:row>
      <xdr:rowOff>1548058</xdr:rowOff>
    </xdr:to>
    <xdr:pic>
      <xdr:nvPicPr>
        <xdr:cNvPr id="127" name="Imagem 126"/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8957127"/>
          <a:ext cx="1309688" cy="1400244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122</xdr:row>
      <xdr:rowOff>71437</xdr:rowOff>
    </xdr:from>
    <xdr:to>
      <xdr:col>1</xdr:col>
      <xdr:colOff>1427320</xdr:colOff>
      <xdr:row>122</xdr:row>
      <xdr:rowOff>1404936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190452375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123</xdr:row>
      <xdr:rowOff>95250</xdr:rowOff>
    </xdr:from>
    <xdr:to>
      <xdr:col>1</xdr:col>
      <xdr:colOff>1701417</xdr:colOff>
      <xdr:row>123</xdr:row>
      <xdr:rowOff>1500187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2047813"/>
          <a:ext cx="1510916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124</xdr:row>
      <xdr:rowOff>95250</xdr:rowOff>
    </xdr:from>
    <xdr:to>
      <xdr:col>1</xdr:col>
      <xdr:colOff>1500187</xdr:colOff>
      <xdr:row>124</xdr:row>
      <xdr:rowOff>1499797</xdr:rowOff>
    </xdr:to>
    <xdr:pic>
      <xdr:nvPicPr>
        <xdr:cNvPr id="130" name="Imagem 129"/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3619438"/>
          <a:ext cx="1214437" cy="140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125</xdr:row>
      <xdr:rowOff>119062</xdr:rowOff>
    </xdr:from>
    <xdr:to>
      <xdr:col>1</xdr:col>
      <xdr:colOff>1524000</xdr:colOff>
      <xdr:row>125</xdr:row>
      <xdr:rowOff>1476374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95214875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126</xdr:row>
      <xdr:rowOff>71437</xdr:rowOff>
    </xdr:from>
    <xdr:to>
      <xdr:col>1</xdr:col>
      <xdr:colOff>1631776</xdr:colOff>
      <xdr:row>127</xdr:row>
      <xdr:rowOff>18859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196738875"/>
          <a:ext cx="1417462" cy="15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127</xdr:row>
      <xdr:rowOff>95250</xdr:rowOff>
    </xdr:from>
    <xdr:to>
      <xdr:col>1</xdr:col>
      <xdr:colOff>1595437</xdr:colOff>
      <xdr:row>127</xdr:row>
      <xdr:rowOff>1543049</xdr:rowOff>
    </xdr:to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8334313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128</xdr:row>
      <xdr:rowOff>95250</xdr:rowOff>
    </xdr:from>
    <xdr:to>
      <xdr:col>1</xdr:col>
      <xdr:colOff>1643062</xdr:colOff>
      <xdr:row>128</xdr:row>
      <xdr:rowOff>1547812</xdr:rowOff>
    </xdr:to>
    <xdr:pic>
      <xdr:nvPicPr>
        <xdr:cNvPr id="134" name="Imagem 1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9905938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80963</xdr:rowOff>
    </xdr:from>
    <xdr:to>
      <xdr:col>1</xdr:col>
      <xdr:colOff>1652587</xdr:colOff>
      <xdr:row>129</xdr:row>
      <xdr:rowOff>1533525</xdr:rowOff>
    </xdr:to>
    <xdr:pic>
      <xdr:nvPicPr>
        <xdr:cNvPr id="135" name="Imagem 13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201463276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130</xdr:row>
      <xdr:rowOff>0</xdr:rowOff>
    </xdr:from>
    <xdr:to>
      <xdr:col>1</xdr:col>
      <xdr:colOff>1619251</xdr:colOff>
      <xdr:row>130</xdr:row>
      <xdr:rowOff>1542249</xdr:rowOff>
    </xdr:to>
    <xdr:pic>
      <xdr:nvPicPr>
        <xdr:cNvPr id="136" name="Imagem 13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02953938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</xdr:colOff>
      <xdr:row>132</xdr:row>
      <xdr:rowOff>66675</xdr:rowOff>
    </xdr:from>
    <xdr:to>
      <xdr:col>1</xdr:col>
      <xdr:colOff>1685924</xdr:colOff>
      <xdr:row>132</xdr:row>
      <xdr:rowOff>1519237</xdr:rowOff>
    </xdr:to>
    <xdr:pic>
      <xdr:nvPicPr>
        <xdr:cNvPr id="137" name="Imagem 13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20616386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134</xdr:row>
      <xdr:rowOff>76200</xdr:rowOff>
    </xdr:from>
    <xdr:to>
      <xdr:col>1</xdr:col>
      <xdr:colOff>1671636</xdr:colOff>
      <xdr:row>134</xdr:row>
      <xdr:rowOff>1528762</xdr:rowOff>
    </xdr:to>
    <xdr:pic>
      <xdr:nvPicPr>
        <xdr:cNvPr id="138" name="Imagem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4" y="2077450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131</xdr:row>
      <xdr:rowOff>119063</xdr:rowOff>
    </xdr:from>
    <xdr:to>
      <xdr:col>1</xdr:col>
      <xdr:colOff>1666875</xdr:colOff>
      <xdr:row>131</xdr:row>
      <xdr:rowOff>1547813</xdr:rowOff>
    </xdr:to>
    <xdr:pic>
      <xdr:nvPicPr>
        <xdr:cNvPr id="139" name="Imagem 1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04644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135</xdr:row>
      <xdr:rowOff>71439</xdr:rowOff>
    </xdr:from>
    <xdr:to>
      <xdr:col>1</xdr:col>
      <xdr:colOff>1619249</xdr:colOff>
      <xdr:row>135</xdr:row>
      <xdr:rowOff>1476375</xdr:rowOff>
    </xdr:to>
    <xdr:pic>
      <xdr:nvPicPr>
        <xdr:cNvPr id="140" name="Imagem 1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09311877"/>
          <a:ext cx="1404936" cy="140493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136</xdr:row>
      <xdr:rowOff>47625</xdr:rowOff>
    </xdr:from>
    <xdr:to>
      <xdr:col>1</xdr:col>
      <xdr:colOff>1714500</xdr:colOff>
      <xdr:row>136</xdr:row>
      <xdr:rowOff>1547812</xdr:rowOff>
    </xdr:to>
    <xdr:pic>
      <xdr:nvPicPr>
        <xdr:cNvPr id="141" name="Imagem 140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108596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137</xdr:row>
      <xdr:rowOff>9525</xdr:rowOff>
    </xdr:from>
    <xdr:to>
      <xdr:col>1</xdr:col>
      <xdr:colOff>1628776</xdr:colOff>
      <xdr:row>137</xdr:row>
      <xdr:rowOff>1551774</xdr:rowOff>
    </xdr:to>
    <xdr:pic>
      <xdr:nvPicPr>
        <xdr:cNvPr id="142" name="Imagem 14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21239321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138</xdr:row>
      <xdr:rowOff>119063</xdr:rowOff>
    </xdr:from>
    <xdr:to>
      <xdr:col>1</xdr:col>
      <xdr:colOff>1501518</xdr:colOff>
      <xdr:row>138</xdr:row>
      <xdr:rowOff>1452562</xdr:rowOff>
    </xdr:to>
    <xdr:pic>
      <xdr:nvPicPr>
        <xdr:cNvPr id="143" name="Imagem 142"/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4074376"/>
          <a:ext cx="1144330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139</xdr:row>
      <xdr:rowOff>61912</xdr:rowOff>
    </xdr:from>
    <xdr:to>
      <xdr:col>1</xdr:col>
      <xdr:colOff>1633537</xdr:colOff>
      <xdr:row>139</xdr:row>
      <xdr:rowOff>1514474</xdr:rowOff>
    </xdr:to>
    <xdr:pic>
      <xdr:nvPicPr>
        <xdr:cNvPr id="154" name="Imagem 15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15588850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140</xdr:row>
      <xdr:rowOff>47625</xdr:rowOff>
    </xdr:from>
    <xdr:to>
      <xdr:col>1</xdr:col>
      <xdr:colOff>1690687</xdr:colOff>
      <xdr:row>140</xdr:row>
      <xdr:rowOff>1547812</xdr:rowOff>
    </xdr:to>
    <xdr:pic>
      <xdr:nvPicPr>
        <xdr:cNvPr id="145" name="Imagem 14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171461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141</xdr:row>
      <xdr:rowOff>119063</xdr:rowOff>
    </xdr:from>
    <xdr:to>
      <xdr:col>1</xdr:col>
      <xdr:colOff>1642949</xdr:colOff>
      <xdr:row>141</xdr:row>
      <xdr:rowOff>1500187</xdr:rowOff>
    </xdr:to>
    <xdr:pic>
      <xdr:nvPicPr>
        <xdr:cNvPr id="146" name="Imagem 145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8789251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142</xdr:row>
      <xdr:rowOff>166687</xdr:rowOff>
    </xdr:from>
    <xdr:to>
      <xdr:col>1</xdr:col>
      <xdr:colOff>1648115</xdr:colOff>
      <xdr:row>142</xdr:row>
      <xdr:rowOff>1501805</xdr:rowOff>
    </xdr:to>
    <xdr:pic>
      <xdr:nvPicPr>
        <xdr:cNvPr id="148" name="Imagem 147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20408500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143</xdr:row>
      <xdr:rowOff>54891</xdr:rowOff>
    </xdr:from>
    <xdr:to>
      <xdr:col>1</xdr:col>
      <xdr:colOff>1619250</xdr:colOff>
      <xdr:row>143</xdr:row>
      <xdr:rowOff>1524000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221868329"/>
          <a:ext cx="1333499" cy="146910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144</xdr:row>
      <xdr:rowOff>71438</xdr:rowOff>
    </xdr:from>
    <xdr:to>
      <xdr:col>1</xdr:col>
      <xdr:colOff>1566675</xdr:colOff>
      <xdr:row>144</xdr:row>
      <xdr:rowOff>1523999</xdr:rowOff>
    </xdr:to>
    <xdr:pic>
      <xdr:nvPicPr>
        <xdr:cNvPr id="149" name="Imagem 148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" y="223456501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145</xdr:row>
      <xdr:rowOff>95248</xdr:rowOff>
    </xdr:from>
    <xdr:to>
      <xdr:col>1</xdr:col>
      <xdr:colOff>1605696</xdr:colOff>
      <xdr:row>145</xdr:row>
      <xdr:rowOff>1518793</xdr:rowOff>
    </xdr:to>
    <xdr:pic>
      <xdr:nvPicPr>
        <xdr:cNvPr id="150" name="Imagem 14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6" y="225051936"/>
          <a:ext cx="1272320" cy="142354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146</xdr:row>
      <xdr:rowOff>95250</xdr:rowOff>
    </xdr:from>
    <xdr:to>
      <xdr:col>1</xdr:col>
      <xdr:colOff>1451133</xdr:colOff>
      <xdr:row>146</xdr:row>
      <xdr:rowOff>1428749</xdr:rowOff>
    </xdr:to>
    <xdr:pic>
      <xdr:nvPicPr>
        <xdr:cNvPr id="151" name="Imagem 150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226623563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133</xdr:row>
      <xdr:rowOff>71437</xdr:rowOff>
    </xdr:from>
    <xdr:to>
      <xdr:col>1</xdr:col>
      <xdr:colOff>1556769</xdr:colOff>
      <xdr:row>133</xdr:row>
      <xdr:rowOff>1534480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07740250"/>
          <a:ext cx="1271019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147</xdr:row>
      <xdr:rowOff>33337</xdr:rowOff>
    </xdr:from>
    <xdr:to>
      <xdr:col>1</xdr:col>
      <xdr:colOff>1604964</xdr:colOff>
      <xdr:row>148</xdr:row>
      <xdr:rowOff>3961</xdr:rowOff>
    </xdr:to>
    <xdr:pic>
      <xdr:nvPicPr>
        <xdr:cNvPr id="153" name="Imagem 152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4" y="229704900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148</xdr:row>
      <xdr:rowOff>119063</xdr:rowOff>
    </xdr:from>
    <xdr:to>
      <xdr:col>1</xdr:col>
      <xdr:colOff>1524000</xdr:colOff>
      <xdr:row>148</xdr:row>
      <xdr:rowOff>1546894</xdr:rowOff>
    </xdr:to>
    <xdr:pic>
      <xdr:nvPicPr>
        <xdr:cNvPr id="155" name="Imagem 154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3" y="231362251"/>
          <a:ext cx="1214437" cy="14278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9"/>
  <sheetViews>
    <sheetView tabSelected="1" topLeftCell="A143" zoomScale="40" zoomScaleNormal="40" workbookViewId="0">
      <selection activeCell="B149" sqref="B149"/>
    </sheetView>
  </sheetViews>
  <sheetFormatPr defaultRowHeight="15" x14ac:dyDescent="0.25"/>
  <cols>
    <col min="1" max="1" width="25.5703125" bestFit="1" customWidth="1"/>
    <col min="2" max="2" width="27.85546875" customWidth="1"/>
    <col min="3" max="3" width="54.140625" customWidth="1"/>
    <col min="4" max="4" width="23.42578125" bestFit="1" customWidth="1"/>
    <col min="5" max="5" width="23.7109375" customWidth="1"/>
    <col min="6" max="6" width="10.85546875" customWidth="1"/>
    <col min="7" max="7" width="27.28515625" bestFit="1" customWidth="1"/>
    <col min="8" max="8" width="25.5703125" bestFit="1" customWidth="1"/>
    <col min="9" max="9" width="29.85546875" bestFit="1" customWidth="1"/>
    <col min="10" max="10" width="32" customWidth="1"/>
    <col min="11" max="11" width="42.28515625" bestFit="1" customWidth="1"/>
    <col min="12" max="12" width="19.42578125" customWidth="1"/>
    <col min="13" max="13" width="54.140625" bestFit="1" customWidth="1"/>
    <col min="14" max="14" width="32.7109375" bestFit="1" customWidth="1"/>
    <col min="15" max="15" width="32" customWidth="1"/>
    <col min="16" max="16" width="32.7109375" bestFit="1" customWidth="1"/>
    <col min="17" max="17" width="42.28515625" bestFit="1" customWidth="1"/>
    <col min="18" max="18" width="32.7109375" bestFit="1" customWidth="1"/>
    <col min="19" max="19" width="10.85546875" bestFit="1" customWidth="1"/>
    <col min="20" max="20" width="32.7109375" bestFit="1" customWidth="1"/>
    <col min="21" max="21" width="37.7109375" bestFit="1" customWidth="1"/>
    <col min="22" max="22" width="41.28515625" bestFit="1" customWidth="1"/>
    <col min="23" max="23" width="17.28515625" bestFit="1" customWidth="1"/>
    <col min="24" max="24" width="19.140625" bestFit="1" customWidth="1"/>
    <col min="25" max="26" width="14" customWidth="1"/>
  </cols>
  <sheetData>
    <row r="1" spans="1:32" ht="28.5" x14ac:dyDescent="0.25">
      <c r="A1" s="6" t="s">
        <v>72</v>
      </c>
      <c r="B1" s="7" t="s">
        <v>119</v>
      </c>
      <c r="C1" s="8" t="s">
        <v>71</v>
      </c>
      <c r="D1" s="7" t="s">
        <v>70</v>
      </c>
      <c r="E1" s="7" t="s">
        <v>69</v>
      </c>
      <c r="F1" s="7" t="s">
        <v>83</v>
      </c>
      <c r="G1" s="7" t="s">
        <v>84</v>
      </c>
      <c r="H1" s="7" t="s">
        <v>90</v>
      </c>
      <c r="I1" s="7" t="s">
        <v>91</v>
      </c>
      <c r="J1" s="7" t="s">
        <v>68</v>
      </c>
      <c r="K1" s="7" t="s">
        <v>67</v>
      </c>
      <c r="L1" s="7" t="s">
        <v>66</v>
      </c>
      <c r="AB1" s="1"/>
      <c r="AC1" s="1"/>
      <c r="AD1" s="1"/>
      <c r="AE1" s="1"/>
      <c r="AF1" s="1"/>
    </row>
    <row r="2" spans="1:32" ht="123" customHeight="1" x14ac:dyDescent="0.25">
      <c r="A2" s="10">
        <v>1</v>
      </c>
      <c r="B2" s="11"/>
      <c r="C2" s="12" t="s">
        <v>30</v>
      </c>
      <c r="D2" s="9" t="s">
        <v>8</v>
      </c>
      <c r="E2" s="13">
        <v>37555</v>
      </c>
      <c r="F2" s="9">
        <v>2002</v>
      </c>
      <c r="G2" s="9" t="s">
        <v>86</v>
      </c>
      <c r="H2" s="9">
        <v>2</v>
      </c>
      <c r="I2" s="9">
        <v>3</v>
      </c>
      <c r="J2" s="9" t="s">
        <v>38</v>
      </c>
      <c r="K2" s="9" t="s">
        <v>23</v>
      </c>
      <c r="L2" s="10" t="s">
        <v>49</v>
      </c>
      <c r="AB2" s="1"/>
      <c r="AC2" s="1"/>
      <c r="AD2" s="1"/>
      <c r="AE2" s="1"/>
      <c r="AF2" s="1"/>
    </row>
    <row r="3" spans="1:32" ht="111.75" customHeight="1" x14ac:dyDescent="0.25">
      <c r="A3" s="10">
        <v>2</v>
      </c>
      <c r="B3" s="15"/>
      <c r="C3" s="12" t="s">
        <v>32</v>
      </c>
      <c r="D3" s="9" t="s">
        <v>31</v>
      </c>
      <c r="E3" s="13">
        <v>38060</v>
      </c>
      <c r="F3" s="16">
        <v>2004</v>
      </c>
      <c r="G3" s="13" t="s">
        <v>20</v>
      </c>
      <c r="H3" s="17">
        <v>1</v>
      </c>
      <c r="I3" s="16">
        <v>0</v>
      </c>
      <c r="J3" s="9" t="s">
        <v>24</v>
      </c>
      <c r="K3" s="9" t="s">
        <v>23</v>
      </c>
      <c r="L3" s="10" t="s">
        <v>49</v>
      </c>
      <c r="X3" s="1"/>
      <c r="Y3" s="1"/>
      <c r="Z3" s="1"/>
      <c r="AA3" s="1"/>
      <c r="AB3" s="1"/>
      <c r="AC3" s="1"/>
      <c r="AD3" s="1"/>
      <c r="AE3" s="1"/>
      <c r="AF3" s="1"/>
    </row>
    <row r="4" spans="1:32" ht="123" customHeight="1" x14ac:dyDescent="0.25">
      <c r="A4" s="6">
        <f>SUM(A3+1)</f>
        <v>3</v>
      </c>
      <c r="B4" s="15"/>
      <c r="C4" s="12" t="s">
        <v>60</v>
      </c>
      <c r="D4" s="9" t="s">
        <v>15</v>
      </c>
      <c r="E4" s="13">
        <v>38211</v>
      </c>
      <c r="F4" s="16">
        <v>2004</v>
      </c>
      <c r="G4" s="13" t="s">
        <v>85</v>
      </c>
      <c r="H4" s="17">
        <v>1</v>
      </c>
      <c r="I4" s="16">
        <v>1</v>
      </c>
      <c r="J4" s="9" t="s">
        <v>38</v>
      </c>
      <c r="K4" s="9" t="s">
        <v>62</v>
      </c>
      <c r="L4" s="10" t="s">
        <v>49</v>
      </c>
      <c r="X4" s="4"/>
      <c r="Y4" s="5"/>
      <c r="Z4" s="3"/>
      <c r="AA4" s="2"/>
      <c r="AB4" s="1"/>
      <c r="AC4" s="1"/>
      <c r="AD4" s="1"/>
      <c r="AE4" s="1"/>
      <c r="AF4" s="1"/>
    </row>
    <row r="5" spans="1:32" ht="123" customHeight="1" x14ac:dyDescent="0.25">
      <c r="A5" s="6">
        <f>SUM(A4+1)</f>
        <v>4</v>
      </c>
      <c r="B5" s="15"/>
      <c r="C5" s="8" t="s">
        <v>11</v>
      </c>
      <c r="D5" s="7" t="s">
        <v>15</v>
      </c>
      <c r="E5" s="22">
        <v>38227</v>
      </c>
      <c r="F5" s="16">
        <v>2004</v>
      </c>
      <c r="G5" s="22" t="s">
        <v>85</v>
      </c>
      <c r="H5" s="23">
        <v>1</v>
      </c>
      <c r="I5" s="24">
        <v>1</v>
      </c>
      <c r="J5" s="7" t="s">
        <v>38</v>
      </c>
      <c r="K5" s="7" t="s">
        <v>62</v>
      </c>
      <c r="L5" s="6" t="s">
        <v>49</v>
      </c>
      <c r="X5" s="4"/>
      <c r="Y5" s="5"/>
      <c r="Z5" s="3"/>
      <c r="AA5" s="2"/>
      <c r="AB5" s="1"/>
      <c r="AC5" s="1"/>
      <c r="AD5" s="1"/>
      <c r="AE5" s="1"/>
      <c r="AF5" s="1"/>
    </row>
    <row r="6" spans="1:32" ht="123" customHeight="1" x14ac:dyDescent="0.25">
      <c r="A6" s="6">
        <f>SUM(A5+1)</f>
        <v>5</v>
      </c>
      <c r="B6" s="15"/>
      <c r="C6" s="8" t="s">
        <v>30</v>
      </c>
      <c r="D6" s="7" t="s">
        <v>21</v>
      </c>
      <c r="E6" s="22">
        <v>38262</v>
      </c>
      <c r="F6" s="16">
        <v>2004</v>
      </c>
      <c r="G6" s="22" t="s">
        <v>20</v>
      </c>
      <c r="H6" s="23">
        <v>4</v>
      </c>
      <c r="I6" s="24">
        <v>1</v>
      </c>
      <c r="J6" s="7" t="s">
        <v>38</v>
      </c>
      <c r="K6" s="7" t="s">
        <v>23</v>
      </c>
      <c r="L6" s="6" t="s">
        <v>49</v>
      </c>
      <c r="X6" s="4"/>
      <c r="Y6" s="5"/>
      <c r="Z6" s="3"/>
      <c r="AA6" s="2"/>
      <c r="AB6" s="1"/>
      <c r="AC6" s="1"/>
      <c r="AD6" s="1"/>
      <c r="AE6" s="1"/>
      <c r="AF6" s="1"/>
    </row>
    <row r="7" spans="1:32" ht="123" customHeight="1" x14ac:dyDescent="0.25">
      <c r="A7" s="6">
        <f t="shared" ref="A7:A17" si="0">SUM(A6+1)</f>
        <v>6</v>
      </c>
      <c r="B7" s="15"/>
      <c r="C7" s="8" t="s">
        <v>65</v>
      </c>
      <c r="D7" s="7" t="s">
        <v>21</v>
      </c>
      <c r="E7" s="22">
        <v>38304</v>
      </c>
      <c r="F7" s="16">
        <v>2004</v>
      </c>
      <c r="G7" s="22" t="s">
        <v>20</v>
      </c>
      <c r="H7" s="23">
        <v>4</v>
      </c>
      <c r="I7" s="24">
        <v>1</v>
      </c>
      <c r="J7" s="7" t="s">
        <v>38</v>
      </c>
      <c r="K7" s="7" t="s">
        <v>62</v>
      </c>
      <c r="L7" s="6" t="s">
        <v>49</v>
      </c>
      <c r="X7" s="4"/>
      <c r="Y7" s="5"/>
      <c r="Z7" s="3"/>
      <c r="AA7" s="2"/>
      <c r="AB7" s="1"/>
      <c r="AC7" s="1"/>
      <c r="AD7" s="1"/>
      <c r="AE7" s="1"/>
      <c r="AF7" s="1"/>
    </row>
    <row r="8" spans="1:32" ht="123" customHeight="1" x14ac:dyDescent="0.25">
      <c r="A8" s="6">
        <f t="shared" si="0"/>
        <v>7</v>
      </c>
      <c r="B8" s="15"/>
      <c r="C8" s="8" t="s">
        <v>64</v>
      </c>
      <c r="D8" s="7" t="s">
        <v>31</v>
      </c>
      <c r="E8" s="22">
        <v>38318</v>
      </c>
      <c r="F8" s="16">
        <v>2004</v>
      </c>
      <c r="G8" s="22" t="s">
        <v>20</v>
      </c>
      <c r="H8" s="23">
        <v>1</v>
      </c>
      <c r="I8" s="24">
        <v>0</v>
      </c>
      <c r="J8" s="7" t="s">
        <v>38</v>
      </c>
      <c r="K8" s="7" t="s">
        <v>62</v>
      </c>
      <c r="L8" s="6" t="s">
        <v>49</v>
      </c>
      <c r="X8" s="4"/>
      <c r="Y8" s="5"/>
      <c r="Z8" s="3"/>
      <c r="AA8" s="2"/>
      <c r="AB8" s="1"/>
      <c r="AC8" s="1"/>
      <c r="AD8" s="1"/>
      <c r="AE8" s="1"/>
      <c r="AF8" s="1"/>
    </row>
    <row r="9" spans="1:32" ht="123" customHeight="1" x14ac:dyDescent="0.25">
      <c r="A9" s="6">
        <f t="shared" si="0"/>
        <v>8</v>
      </c>
      <c r="B9" s="15"/>
      <c r="C9" s="8" t="s">
        <v>63</v>
      </c>
      <c r="D9" s="7" t="s">
        <v>25</v>
      </c>
      <c r="E9" s="22">
        <v>38333</v>
      </c>
      <c r="F9" s="16">
        <v>2004</v>
      </c>
      <c r="G9" s="22" t="s">
        <v>86</v>
      </c>
      <c r="H9" s="23">
        <v>1</v>
      </c>
      <c r="I9" s="24">
        <v>2</v>
      </c>
      <c r="J9" s="7" t="s">
        <v>38</v>
      </c>
      <c r="K9" s="7" t="s">
        <v>62</v>
      </c>
      <c r="L9" s="6" t="s">
        <v>49</v>
      </c>
      <c r="X9" s="4"/>
      <c r="Y9" s="5"/>
      <c r="Z9" s="3"/>
      <c r="AA9" s="2"/>
      <c r="AB9" s="1"/>
      <c r="AC9" s="1"/>
      <c r="AD9" s="1"/>
      <c r="AE9" s="1"/>
      <c r="AF9" s="1"/>
    </row>
    <row r="10" spans="1:32" ht="123" customHeight="1" x14ac:dyDescent="0.25">
      <c r="A10" s="6">
        <f t="shared" si="0"/>
        <v>9</v>
      </c>
      <c r="B10" s="15"/>
      <c r="C10" s="8" t="s">
        <v>103</v>
      </c>
      <c r="D10" s="7" t="s">
        <v>104</v>
      </c>
      <c r="E10" s="22">
        <v>38396</v>
      </c>
      <c r="F10" s="16">
        <v>2005</v>
      </c>
      <c r="G10" s="22" t="s">
        <v>86</v>
      </c>
      <c r="H10" s="23">
        <v>1</v>
      </c>
      <c r="I10" s="24">
        <v>2</v>
      </c>
      <c r="J10" s="7" t="s">
        <v>24</v>
      </c>
      <c r="K10" s="7" t="s">
        <v>23</v>
      </c>
      <c r="L10" s="6" t="s">
        <v>49</v>
      </c>
      <c r="X10" s="4"/>
      <c r="Y10" s="5"/>
      <c r="Z10" s="3"/>
      <c r="AA10" s="2"/>
      <c r="AB10" s="1"/>
      <c r="AC10" s="1"/>
      <c r="AD10" s="1"/>
      <c r="AE10" s="1"/>
      <c r="AF10" s="1"/>
    </row>
    <row r="11" spans="1:32" ht="123" customHeight="1" x14ac:dyDescent="0.25">
      <c r="A11" s="6">
        <f t="shared" si="0"/>
        <v>10</v>
      </c>
      <c r="B11" s="15"/>
      <c r="C11" s="8" t="s">
        <v>30</v>
      </c>
      <c r="D11" s="7" t="s">
        <v>61</v>
      </c>
      <c r="E11" s="22">
        <v>38406</v>
      </c>
      <c r="F11" s="24">
        <v>2005</v>
      </c>
      <c r="G11" s="22" t="s">
        <v>86</v>
      </c>
      <c r="H11" s="23">
        <v>0</v>
      </c>
      <c r="I11" s="24">
        <v>4</v>
      </c>
      <c r="J11" s="7" t="s">
        <v>24</v>
      </c>
      <c r="K11" s="7" t="s">
        <v>23</v>
      </c>
      <c r="L11" s="6" t="s">
        <v>49</v>
      </c>
      <c r="X11" s="4"/>
      <c r="Y11" s="5"/>
      <c r="Z11" s="3"/>
      <c r="AA11" s="2"/>
      <c r="AB11" s="1"/>
      <c r="AC11" s="1"/>
      <c r="AD11" s="1"/>
      <c r="AE11" s="1"/>
      <c r="AF11" s="1"/>
    </row>
    <row r="12" spans="1:32" ht="123" customHeight="1" x14ac:dyDescent="0.25">
      <c r="A12" s="6">
        <f t="shared" si="0"/>
        <v>11</v>
      </c>
      <c r="B12" s="15"/>
      <c r="C12" s="8" t="s">
        <v>60</v>
      </c>
      <c r="D12" s="7" t="s">
        <v>19</v>
      </c>
      <c r="E12" s="22">
        <v>38501</v>
      </c>
      <c r="F12" s="24">
        <v>2005</v>
      </c>
      <c r="G12" s="22" t="s">
        <v>20</v>
      </c>
      <c r="H12" s="23">
        <v>2</v>
      </c>
      <c r="I12" s="24">
        <v>0</v>
      </c>
      <c r="J12" s="7" t="s">
        <v>38</v>
      </c>
      <c r="K12" s="30" t="s">
        <v>77</v>
      </c>
      <c r="L12" s="6" t="s">
        <v>49</v>
      </c>
      <c r="X12" s="4"/>
      <c r="Y12" s="5"/>
      <c r="Z12" s="3"/>
      <c r="AA12" s="2"/>
      <c r="AB12" s="1"/>
      <c r="AC12" s="1"/>
      <c r="AD12" s="1"/>
      <c r="AE12" s="1"/>
      <c r="AF12" s="1"/>
    </row>
    <row r="13" spans="1:32" ht="123" customHeight="1" x14ac:dyDescent="0.25">
      <c r="A13" s="6">
        <f t="shared" si="0"/>
        <v>12</v>
      </c>
      <c r="B13" s="15"/>
      <c r="C13" s="8" t="s">
        <v>56</v>
      </c>
      <c r="D13" s="7" t="s">
        <v>29</v>
      </c>
      <c r="E13" s="22">
        <v>38613</v>
      </c>
      <c r="F13" s="24">
        <v>2005</v>
      </c>
      <c r="G13" s="22" t="s">
        <v>20</v>
      </c>
      <c r="H13" s="23">
        <v>3</v>
      </c>
      <c r="I13" s="24">
        <v>1</v>
      </c>
      <c r="J13" s="7" t="s">
        <v>38</v>
      </c>
      <c r="K13" s="30" t="s">
        <v>77</v>
      </c>
      <c r="L13" s="6" t="s">
        <v>49</v>
      </c>
      <c r="X13" s="4"/>
      <c r="Y13" s="5"/>
      <c r="Z13" s="3"/>
      <c r="AA13" s="2"/>
      <c r="AB13" s="1"/>
      <c r="AC13" s="1"/>
      <c r="AD13" s="1"/>
      <c r="AE13" s="1"/>
      <c r="AF13" s="1"/>
    </row>
    <row r="14" spans="1:32" ht="123" customHeight="1" x14ac:dyDescent="0.25">
      <c r="A14" s="6">
        <f t="shared" si="0"/>
        <v>13</v>
      </c>
      <c r="B14" s="15"/>
      <c r="C14" s="8" t="s">
        <v>39</v>
      </c>
      <c r="D14" s="7" t="s">
        <v>25</v>
      </c>
      <c r="E14" s="22">
        <v>38633</v>
      </c>
      <c r="F14" s="24">
        <v>2005</v>
      </c>
      <c r="G14" s="22" t="s">
        <v>86</v>
      </c>
      <c r="H14" s="23">
        <v>1</v>
      </c>
      <c r="I14" s="24">
        <v>2</v>
      </c>
      <c r="J14" s="7" t="s">
        <v>38</v>
      </c>
      <c r="K14" s="30" t="s">
        <v>77</v>
      </c>
      <c r="L14" s="6" t="s">
        <v>49</v>
      </c>
      <c r="X14" s="4"/>
      <c r="Y14" s="5"/>
      <c r="Z14" s="3"/>
      <c r="AA14" s="2"/>
      <c r="AB14" s="1"/>
      <c r="AC14" s="1"/>
      <c r="AD14" s="1"/>
      <c r="AE14" s="1"/>
      <c r="AF14" s="1"/>
    </row>
    <row r="15" spans="1:32" ht="123" customHeight="1" x14ac:dyDescent="0.25">
      <c r="A15" s="6">
        <f t="shared" si="0"/>
        <v>14</v>
      </c>
      <c r="B15" s="15"/>
      <c r="C15" s="8" t="s">
        <v>59</v>
      </c>
      <c r="D15" s="7" t="s">
        <v>33</v>
      </c>
      <c r="E15" s="22">
        <v>38647</v>
      </c>
      <c r="F15" s="24">
        <v>2005</v>
      </c>
      <c r="G15" s="22" t="s">
        <v>20</v>
      </c>
      <c r="H15" s="23">
        <v>2</v>
      </c>
      <c r="I15" s="24">
        <v>1</v>
      </c>
      <c r="J15" s="7" t="s">
        <v>38</v>
      </c>
      <c r="K15" s="7" t="s">
        <v>23</v>
      </c>
      <c r="L15" s="6" t="s">
        <v>49</v>
      </c>
      <c r="X15" s="4"/>
      <c r="Y15" s="5"/>
      <c r="Z15" s="3"/>
      <c r="AA15" s="2"/>
      <c r="AB15" s="1"/>
      <c r="AC15" s="1"/>
      <c r="AD15" s="1"/>
      <c r="AE15" s="1"/>
      <c r="AF15" s="1"/>
    </row>
    <row r="16" spans="1:32" ht="123" customHeight="1" x14ac:dyDescent="0.25">
      <c r="A16" s="6">
        <f t="shared" si="0"/>
        <v>15</v>
      </c>
      <c r="B16" s="15"/>
      <c r="C16" s="8" t="s">
        <v>99</v>
      </c>
      <c r="D16" s="7" t="s">
        <v>19</v>
      </c>
      <c r="E16" s="22">
        <v>38668</v>
      </c>
      <c r="F16" s="24">
        <v>2005</v>
      </c>
      <c r="G16" s="22" t="s">
        <v>20</v>
      </c>
      <c r="H16" s="23">
        <v>2</v>
      </c>
      <c r="I16" s="24">
        <v>0</v>
      </c>
      <c r="J16" s="7" t="s">
        <v>38</v>
      </c>
      <c r="K16" s="7" t="s">
        <v>77</v>
      </c>
      <c r="L16" s="6" t="s">
        <v>49</v>
      </c>
      <c r="X16" s="4"/>
      <c r="Y16" s="5"/>
      <c r="Z16" s="3"/>
      <c r="AA16" s="2"/>
      <c r="AB16" s="1"/>
      <c r="AC16" s="1"/>
      <c r="AD16" s="1"/>
      <c r="AE16" s="1"/>
      <c r="AF16" s="1"/>
    </row>
    <row r="17" spans="1:32" ht="123" customHeight="1" x14ac:dyDescent="0.25">
      <c r="A17" s="6">
        <f t="shared" si="0"/>
        <v>16</v>
      </c>
      <c r="B17" s="15"/>
      <c r="C17" s="8" t="s">
        <v>26</v>
      </c>
      <c r="D17" s="7" t="s">
        <v>58</v>
      </c>
      <c r="E17" s="22">
        <v>38739</v>
      </c>
      <c r="F17" s="24">
        <v>2006</v>
      </c>
      <c r="G17" s="22" t="s">
        <v>20</v>
      </c>
      <c r="H17" s="23">
        <v>5</v>
      </c>
      <c r="I17" s="24">
        <v>3</v>
      </c>
      <c r="J17" s="7" t="s">
        <v>24</v>
      </c>
      <c r="K17" s="7" t="s">
        <v>23</v>
      </c>
      <c r="L17" s="6" t="s">
        <v>49</v>
      </c>
      <c r="X17" s="4"/>
      <c r="Y17" s="5"/>
      <c r="Z17" s="3"/>
      <c r="AA17" s="2"/>
      <c r="AB17" s="1"/>
      <c r="AC17" s="1"/>
      <c r="AD17" s="1"/>
      <c r="AE17" s="1"/>
      <c r="AF17" s="1"/>
    </row>
    <row r="18" spans="1:32" ht="123" customHeight="1" x14ac:dyDescent="0.25">
      <c r="A18" s="6">
        <f t="shared" ref="A18:A23" si="1">SUM(A17+1)</f>
        <v>17</v>
      </c>
      <c r="B18" s="15"/>
      <c r="C18" s="8" t="s">
        <v>34</v>
      </c>
      <c r="D18" s="7" t="s">
        <v>15</v>
      </c>
      <c r="E18" s="22">
        <v>38767</v>
      </c>
      <c r="F18" s="24">
        <v>2006</v>
      </c>
      <c r="G18" s="22" t="s">
        <v>85</v>
      </c>
      <c r="H18" s="23">
        <v>1</v>
      </c>
      <c r="I18" s="24">
        <v>1</v>
      </c>
      <c r="J18" s="7" t="s">
        <v>24</v>
      </c>
      <c r="K18" s="7" t="s">
        <v>23</v>
      </c>
      <c r="L18" s="6" t="s">
        <v>49</v>
      </c>
      <c r="X18" s="4"/>
      <c r="Y18" s="5"/>
      <c r="Z18" s="3"/>
      <c r="AA18" s="2"/>
      <c r="AB18" s="1"/>
      <c r="AC18" s="1"/>
      <c r="AD18" s="1"/>
      <c r="AE18" s="1"/>
      <c r="AF18" s="1"/>
    </row>
    <row r="19" spans="1:32" ht="123" customHeight="1" x14ac:dyDescent="0.25">
      <c r="A19" s="32">
        <f t="shared" si="1"/>
        <v>18</v>
      </c>
      <c r="B19" s="26"/>
      <c r="C19" s="8" t="s">
        <v>27</v>
      </c>
      <c r="D19" s="7" t="s">
        <v>29</v>
      </c>
      <c r="E19" s="22">
        <v>38816</v>
      </c>
      <c r="F19" s="24">
        <v>2006</v>
      </c>
      <c r="G19" s="22" t="s">
        <v>20</v>
      </c>
      <c r="H19" s="23">
        <v>3</v>
      </c>
      <c r="I19" s="24">
        <v>1</v>
      </c>
      <c r="J19" s="7" t="s">
        <v>24</v>
      </c>
      <c r="K19" s="7" t="s">
        <v>23</v>
      </c>
      <c r="L19" s="6" t="s">
        <v>49</v>
      </c>
      <c r="X19" s="4"/>
      <c r="Y19" s="5"/>
      <c r="Z19" s="3"/>
      <c r="AA19" s="2"/>
      <c r="AB19" s="1"/>
      <c r="AC19" s="1"/>
      <c r="AD19" s="1"/>
      <c r="AE19" s="1"/>
      <c r="AF19" s="1"/>
    </row>
    <row r="20" spans="1:32" ht="123" customHeight="1" x14ac:dyDescent="0.25">
      <c r="A20" s="6">
        <f t="shared" si="1"/>
        <v>19</v>
      </c>
      <c r="B20" s="15"/>
      <c r="C20" s="8" t="s">
        <v>46</v>
      </c>
      <c r="D20" s="7" t="s">
        <v>47</v>
      </c>
      <c r="E20" s="22">
        <v>38850</v>
      </c>
      <c r="F20" s="24">
        <v>2006</v>
      </c>
      <c r="G20" s="22" t="s">
        <v>85</v>
      </c>
      <c r="H20" s="23">
        <v>2</v>
      </c>
      <c r="I20" s="24">
        <v>2</v>
      </c>
      <c r="J20" s="7" t="s">
        <v>38</v>
      </c>
      <c r="K20" s="7" t="s">
        <v>23</v>
      </c>
      <c r="L20" s="6" t="s">
        <v>49</v>
      </c>
      <c r="X20" s="4"/>
      <c r="Y20" s="5"/>
      <c r="Z20" s="3"/>
      <c r="AA20" s="2"/>
      <c r="AB20" s="1"/>
      <c r="AC20" s="1"/>
      <c r="AD20" s="1"/>
      <c r="AE20" s="1"/>
      <c r="AF20" s="1"/>
    </row>
    <row r="21" spans="1:32" ht="123" customHeight="1" x14ac:dyDescent="0.25">
      <c r="A21" s="6">
        <f t="shared" si="1"/>
        <v>20</v>
      </c>
      <c r="B21" s="15"/>
      <c r="C21" s="8" t="s">
        <v>41</v>
      </c>
      <c r="D21" s="7" t="s">
        <v>57</v>
      </c>
      <c r="E21" s="22">
        <v>39004</v>
      </c>
      <c r="F21" s="24">
        <v>2006</v>
      </c>
      <c r="G21" s="22" t="s">
        <v>20</v>
      </c>
      <c r="H21" s="23">
        <v>4</v>
      </c>
      <c r="I21" s="24">
        <v>3</v>
      </c>
      <c r="J21" s="7" t="s">
        <v>38</v>
      </c>
      <c r="K21" s="7" t="s">
        <v>23</v>
      </c>
      <c r="L21" s="6" t="s">
        <v>49</v>
      </c>
      <c r="X21" s="4"/>
      <c r="Y21" s="5"/>
      <c r="Z21" s="3"/>
      <c r="AA21" s="2"/>
      <c r="AB21" s="1"/>
      <c r="AC21" s="1"/>
      <c r="AD21" s="1"/>
      <c r="AE21" s="1"/>
      <c r="AF21" s="1"/>
    </row>
    <row r="22" spans="1:32" ht="123" customHeight="1" x14ac:dyDescent="0.25">
      <c r="A22" s="6">
        <f t="shared" si="1"/>
        <v>21</v>
      </c>
      <c r="B22" s="15"/>
      <c r="C22" s="8" t="s">
        <v>55</v>
      </c>
      <c r="D22" s="7" t="s">
        <v>13</v>
      </c>
      <c r="E22" s="22">
        <v>39023</v>
      </c>
      <c r="F22" s="24">
        <v>2006</v>
      </c>
      <c r="G22" s="22" t="s">
        <v>86</v>
      </c>
      <c r="H22" s="23">
        <v>0</v>
      </c>
      <c r="I22" s="24">
        <v>1</v>
      </c>
      <c r="J22" s="7" t="s">
        <v>38</v>
      </c>
      <c r="K22" s="7" t="s">
        <v>23</v>
      </c>
      <c r="L22" s="6" t="s">
        <v>49</v>
      </c>
      <c r="X22" s="4"/>
      <c r="Y22" s="5"/>
      <c r="Z22" s="3"/>
      <c r="AA22" s="2"/>
      <c r="AB22" s="1"/>
      <c r="AC22" s="1"/>
      <c r="AD22" s="1"/>
      <c r="AE22" s="1"/>
      <c r="AF22" s="1"/>
    </row>
    <row r="23" spans="1:32" ht="123" customHeight="1" x14ac:dyDescent="0.25">
      <c r="A23" s="6">
        <f t="shared" si="1"/>
        <v>22</v>
      </c>
      <c r="B23" s="15"/>
      <c r="C23" s="8" t="s">
        <v>56</v>
      </c>
      <c r="D23" s="7" t="s">
        <v>47</v>
      </c>
      <c r="E23" s="22">
        <v>39040</v>
      </c>
      <c r="F23" s="24">
        <v>2006</v>
      </c>
      <c r="G23" s="22" t="s">
        <v>85</v>
      </c>
      <c r="H23" s="23">
        <v>2</v>
      </c>
      <c r="I23" s="24">
        <v>2</v>
      </c>
      <c r="J23" s="7" t="s">
        <v>38</v>
      </c>
      <c r="K23" s="7" t="s">
        <v>23</v>
      </c>
      <c r="L23" s="6" t="s">
        <v>49</v>
      </c>
      <c r="X23" s="4"/>
      <c r="Y23" s="5"/>
      <c r="Z23" s="3"/>
      <c r="AA23" s="2"/>
      <c r="AB23" s="1"/>
      <c r="AC23" s="1"/>
      <c r="AD23" s="1"/>
      <c r="AE23" s="1"/>
      <c r="AF23" s="1"/>
    </row>
    <row r="24" spans="1:32" ht="123" customHeight="1" x14ac:dyDescent="0.25">
      <c r="A24" s="6">
        <f t="shared" ref="A24:A38" si="2">SUM(A23+1)</f>
        <v>23</v>
      </c>
      <c r="B24" s="15"/>
      <c r="C24" s="8" t="s">
        <v>14</v>
      </c>
      <c r="D24" s="7" t="s">
        <v>29</v>
      </c>
      <c r="E24" s="22">
        <v>39225</v>
      </c>
      <c r="F24" s="24">
        <v>2007</v>
      </c>
      <c r="G24" s="22" t="s">
        <v>20</v>
      </c>
      <c r="H24" s="23">
        <v>3</v>
      </c>
      <c r="I24" s="24">
        <v>1</v>
      </c>
      <c r="J24" s="7" t="s">
        <v>12</v>
      </c>
      <c r="K24" s="7" t="s">
        <v>23</v>
      </c>
      <c r="L24" s="6" t="s">
        <v>49</v>
      </c>
      <c r="X24" s="4"/>
      <c r="Y24" s="5"/>
      <c r="Z24" s="3"/>
      <c r="AA24" s="2"/>
      <c r="AB24" s="1"/>
      <c r="AC24" s="1"/>
      <c r="AD24" s="1"/>
      <c r="AE24" s="1"/>
      <c r="AF24" s="1"/>
    </row>
    <row r="25" spans="1:32" ht="123" customHeight="1" x14ac:dyDescent="0.25">
      <c r="A25" s="6">
        <f t="shared" si="2"/>
        <v>24</v>
      </c>
      <c r="B25" s="15"/>
      <c r="C25" s="8" t="s">
        <v>46</v>
      </c>
      <c r="D25" s="7" t="s">
        <v>17</v>
      </c>
      <c r="E25" s="22">
        <v>39235</v>
      </c>
      <c r="F25" s="24">
        <v>2007</v>
      </c>
      <c r="G25" s="22" t="s">
        <v>20</v>
      </c>
      <c r="H25" s="23">
        <v>3</v>
      </c>
      <c r="I25" s="24">
        <v>0</v>
      </c>
      <c r="J25" s="7" t="s">
        <v>38</v>
      </c>
      <c r="K25" s="7" t="s">
        <v>23</v>
      </c>
      <c r="L25" s="6" t="s">
        <v>49</v>
      </c>
      <c r="X25" s="4"/>
      <c r="Y25" s="5"/>
      <c r="Z25" s="3"/>
      <c r="AA25" s="2"/>
      <c r="AB25" s="1"/>
      <c r="AC25" s="1"/>
      <c r="AD25" s="1"/>
      <c r="AE25" s="1"/>
      <c r="AF25" s="1"/>
    </row>
    <row r="26" spans="1:32" ht="123" customHeight="1" x14ac:dyDescent="0.25">
      <c r="A26" s="6">
        <f t="shared" si="2"/>
        <v>25</v>
      </c>
      <c r="B26" s="15"/>
      <c r="C26" s="8" t="s">
        <v>54</v>
      </c>
      <c r="D26" s="7" t="s">
        <v>29</v>
      </c>
      <c r="E26" s="22">
        <v>39250</v>
      </c>
      <c r="F26" s="24">
        <v>2007</v>
      </c>
      <c r="G26" s="22" t="s">
        <v>20</v>
      </c>
      <c r="H26" s="23">
        <v>3</v>
      </c>
      <c r="I26" s="24">
        <v>1</v>
      </c>
      <c r="J26" s="7" t="s">
        <v>38</v>
      </c>
      <c r="K26" s="7" t="s">
        <v>23</v>
      </c>
      <c r="L26" s="6" t="s">
        <v>49</v>
      </c>
      <c r="X26" s="4"/>
      <c r="Y26" s="5"/>
      <c r="Z26" s="3"/>
      <c r="AA26" s="2"/>
      <c r="AB26" s="1"/>
      <c r="AC26" s="1"/>
      <c r="AD26" s="1"/>
      <c r="AE26" s="1"/>
      <c r="AF26" s="1"/>
    </row>
    <row r="27" spans="1:32" ht="123" customHeight="1" x14ac:dyDescent="0.25">
      <c r="A27" s="6">
        <f t="shared" si="2"/>
        <v>26</v>
      </c>
      <c r="B27" s="15"/>
      <c r="C27" s="8" t="s">
        <v>55</v>
      </c>
      <c r="D27" s="7" t="s">
        <v>15</v>
      </c>
      <c r="E27" s="22">
        <v>39313</v>
      </c>
      <c r="F27" s="24">
        <v>2007</v>
      </c>
      <c r="G27" s="22" t="s">
        <v>85</v>
      </c>
      <c r="H27" s="23">
        <v>1</v>
      </c>
      <c r="I27" s="24">
        <v>1</v>
      </c>
      <c r="J27" s="7" t="s">
        <v>38</v>
      </c>
      <c r="K27" s="7" t="s">
        <v>23</v>
      </c>
      <c r="L27" s="6" t="s">
        <v>49</v>
      </c>
      <c r="X27" s="4"/>
      <c r="Y27" s="5"/>
      <c r="Z27" s="3"/>
      <c r="AA27" s="2"/>
      <c r="AB27" s="1"/>
      <c r="AC27" s="1"/>
      <c r="AD27" s="1"/>
      <c r="AE27" s="1"/>
      <c r="AF27" s="1"/>
    </row>
    <row r="28" spans="1:32" ht="123" customHeight="1" x14ac:dyDescent="0.25">
      <c r="A28" s="6">
        <f t="shared" si="2"/>
        <v>27</v>
      </c>
      <c r="B28" s="15"/>
      <c r="C28" s="33" t="s">
        <v>30</v>
      </c>
      <c r="D28" s="34" t="s">
        <v>50</v>
      </c>
      <c r="E28" s="35">
        <v>39348</v>
      </c>
      <c r="F28" s="36">
        <v>2007</v>
      </c>
      <c r="G28" s="37" t="s">
        <v>86</v>
      </c>
      <c r="H28" s="38">
        <v>0</v>
      </c>
      <c r="I28" s="36">
        <v>2</v>
      </c>
      <c r="J28" s="34" t="s">
        <v>38</v>
      </c>
      <c r="K28" s="34" t="s">
        <v>23</v>
      </c>
      <c r="L28" s="39" t="s">
        <v>49</v>
      </c>
      <c r="X28" s="4"/>
      <c r="Y28" s="5"/>
      <c r="Z28" s="3"/>
      <c r="AA28" s="2"/>
      <c r="AB28" s="1"/>
      <c r="AC28" s="1"/>
      <c r="AD28" s="1"/>
      <c r="AE28" s="1"/>
      <c r="AF28" s="1"/>
    </row>
    <row r="29" spans="1:32" ht="123" customHeight="1" x14ac:dyDescent="0.25">
      <c r="A29" s="6">
        <f t="shared" si="2"/>
        <v>28</v>
      </c>
      <c r="B29" s="15"/>
      <c r="C29" s="8" t="s">
        <v>30</v>
      </c>
      <c r="D29" s="7" t="s">
        <v>29</v>
      </c>
      <c r="E29" s="22">
        <v>39537</v>
      </c>
      <c r="F29" s="24">
        <v>2008</v>
      </c>
      <c r="G29" s="22" t="s">
        <v>20</v>
      </c>
      <c r="H29" s="23">
        <v>3</v>
      </c>
      <c r="I29" s="24">
        <v>1</v>
      </c>
      <c r="J29" s="7" t="s">
        <v>24</v>
      </c>
      <c r="K29" s="7" t="s">
        <v>23</v>
      </c>
      <c r="L29" s="6" t="s">
        <v>49</v>
      </c>
      <c r="X29" s="4"/>
      <c r="Y29" s="5"/>
      <c r="Z29" s="3"/>
      <c r="AA29" s="2"/>
      <c r="AB29" s="1"/>
      <c r="AC29" s="1"/>
      <c r="AD29" s="1"/>
      <c r="AE29" s="1"/>
      <c r="AF29" s="1"/>
    </row>
    <row r="30" spans="1:32" ht="123" customHeight="1" x14ac:dyDescent="0.25">
      <c r="A30" s="6">
        <f t="shared" si="2"/>
        <v>29</v>
      </c>
      <c r="B30" s="15"/>
      <c r="C30" s="8" t="s">
        <v>53</v>
      </c>
      <c r="D30" s="7" t="s">
        <v>19</v>
      </c>
      <c r="E30" s="22">
        <v>39582</v>
      </c>
      <c r="F30" s="24">
        <v>2008</v>
      </c>
      <c r="G30" s="22" t="s">
        <v>20</v>
      </c>
      <c r="H30" s="23">
        <v>2</v>
      </c>
      <c r="I30" s="24">
        <v>0</v>
      </c>
      <c r="J30" s="7" t="s">
        <v>12</v>
      </c>
      <c r="K30" s="7" t="s">
        <v>1</v>
      </c>
      <c r="L30" s="6" t="s">
        <v>49</v>
      </c>
      <c r="X30" s="4"/>
      <c r="Y30" s="5"/>
      <c r="Z30" s="3"/>
      <c r="AA30" s="2"/>
      <c r="AB30" s="1"/>
      <c r="AC30" s="1"/>
      <c r="AD30" s="1"/>
      <c r="AE30" s="1"/>
      <c r="AF30" s="1"/>
    </row>
    <row r="31" spans="1:32" ht="123" customHeight="1" x14ac:dyDescent="0.25">
      <c r="A31" s="6">
        <f t="shared" si="2"/>
        <v>30</v>
      </c>
      <c r="B31" s="15"/>
      <c r="C31" s="8" t="s">
        <v>26</v>
      </c>
      <c r="D31" s="7" t="s">
        <v>15</v>
      </c>
      <c r="E31" s="22">
        <v>39593</v>
      </c>
      <c r="F31" s="24">
        <v>2008</v>
      </c>
      <c r="G31" s="22" t="s">
        <v>85</v>
      </c>
      <c r="H31" s="23">
        <v>1</v>
      </c>
      <c r="I31" s="24">
        <v>1</v>
      </c>
      <c r="J31" s="7" t="s">
        <v>38</v>
      </c>
      <c r="K31" s="7" t="s">
        <v>1</v>
      </c>
      <c r="L31" s="6" t="s">
        <v>49</v>
      </c>
      <c r="X31" s="4"/>
      <c r="Y31" s="5"/>
      <c r="Z31" s="3"/>
      <c r="AA31" s="2"/>
      <c r="AB31" s="1"/>
      <c r="AC31" s="1"/>
      <c r="AD31" s="1"/>
      <c r="AE31" s="1"/>
      <c r="AF31" s="1"/>
    </row>
    <row r="32" spans="1:32" ht="123" customHeight="1" x14ac:dyDescent="0.25">
      <c r="A32" s="6">
        <f t="shared" si="2"/>
        <v>31</v>
      </c>
      <c r="B32" s="15"/>
      <c r="C32" s="8" t="s">
        <v>54</v>
      </c>
      <c r="D32" s="7" t="s">
        <v>15</v>
      </c>
      <c r="E32" s="22">
        <v>39690</v>
      </c>
      <c r="F32" s="24">
        <v>2008</v>
      </c>
      <c r="G32" s="22" t="s">
        <v>85</v>
      </c>
      <c r="H32" s="23">
        <v>1</v>
      </c>
      <c r="I32" s="24">
        <v>1</v>
      </c>
      <c r="J32" s="7" t="s">
        <v>38</v>
      </c>
      <c r="K32" s="7" t="s">
        <v>1</v>
      </c>
      <c r="L32" s="6" t="s">
        <v>49</v>
      </c>
      <c r="X32" s="4"/>
      <c r="Y32" s="5"/>
      <c r="Z32" s="3"/>
      <c r="AA32" s="2"/>
      <c r="AB32" s="1"/>
      <c r="AC32" s="1"/>
      <c r="AD32" s="1"/>
      <c r="AE32" s="1"/>
      <c r="AF32" s="1"/>
    </row>
    <row r="33" spans="1:32" ht="123" customHeight="1" x14ac:dyDescent="0.25">
      <c r="A33" s="6">
        <f t="shared" si="2"/>
        <v>32</v>
      </c>
      <c r="B33" s="15"/>
      <c r="C33" s="8" t="s">
        <v>30</v>
      </c>
      <c r="D33" s="7" t="s">
        <v>25</v>
      </c>
      <c r="E33" s="22">
        <v>39900</v>
      </c>
      <c r="F33" s="24">
        <v>2009</v>
      </c>
      <c r="G33" s="22" t="s">
        <v>86</v>
      </c>
      <c r="H33" s="23">
        <v>1</v>
      </c>
      <c r="I33" s="24">
        <v>2</v>
      </c>
      <c r="J33" s="7" t="s">
        <v>24</v>
      </c>
      <c r="K33" s="7" t="s">
        <v>23</v>
      </c>
      <c r="L33" s="6" t="s">
        <v>49</v>
      </c>
      <c r="X33" s="4"/>
      <c r="Y33" s="5"/>
      <c r="Z33" s="3"/>
      <c r="AA33" s="2"/>
      <c r="AB33" s="1"/>
      <c r="AC33" s="1"/>
      <c r="AD33" s="1"/>
      <c r="AE33" s="1"/>
      <c r="AF33" s="1"/>
    </row>
    <row r="34" spans="1:32" ht="123" customHeight="1" x14ac:dyDescent="0.25">
      <c r="A34" s="6">
        <f t="shared" si="2"/>
        <v>33</v>
      </c>
      <c r="B34" s="15"/>
      <c r="C34" s="8" t="s">
        <v>37</v>
      </c>
      <c r="D34" s="7" t="s">
        <v>21</v>
      </c>
      <c r="E34" s="22">
        <v>40266</v>
      </c>
      <c r="F34" s="24">
        <v>2010</v>
      </c>
      <c r="G34" s="22" t="s">
        <v>20</v>
      </c>
      <c r="H34" s="23">
        <v>4</v>
      </c>
      <c r="I34" s="24">
        <v>1</v>
      </c>
      <c r="J34" s="7" t="s">
        <v>24</v>
      </c>
      <c r="K34" s="7" t="s">
        <v>36</v>
      </c>
      <c r="L34" s="6" t="s">
        <v>49</v>
      </c>
      <c r="X34" s="4"/>
      <c r="Y34" s="5"/>
      <c r="Z34" s="3"/>
      <c r="AA34" s="2"/>
      <c r="AB34" s="1"/>
      <c r="AC34" s="1"/>
      <c r="AD34" s="1"/>
      <c r="AE34" s="1"/>
      <c r="AF34" s="1"/>
    </row>
    <row r="35" spans="1:32" ht="123" customHeight="1" x14ac:dyDescent="0.25">
      <c r="A35" s="6">
        <f t="shared" si="2"/>
        <v>34</v>
      </c>
      <c r="B35" s="15"/>
      <c r="C35" s="8" t="s">
        <v>53</v>
      </c>
      <c r="D35" s="7" t="s">
        <v>17</v>
      </c>
      <c r="E35" s="22">
        <v>40397</v>
      </c>
      <c r="F35" s="24">
        <v>2010</v>
      </c>
      <c r="G35" s="22" t="s">
        <v>20</v>
      </c>
      <c r="H35" s="23">
        <v>3</v>
      </c>
      <c r="I35" s="24">
        <v>0</v>
      </c>
      <c r="J35" s="7" t="s">
        <v>38</v>
      </c>
      <c r="K35" s="7" t="s">
        <v>1</v>
      </c>
      <c r="L35" s="6" t="s">
        <v>49</v>
      </c>
      <c r="X35" s="4"/>
      <c r="Y35" s="5"/>
      <c r="Z35" s="3"/>
      <c r="AA35" s="2"/>
      <c r="AB35" s="1"/>
      <c r="AC35" s="1"/>
      <c r="AD35" s="1"/>
      <c r="AE35" s="1"/>
      <c r="AF35" s="1"/>
    </row>
    <row r="36" spans="1:32" ht="123" customHeight="1" x14ac:dyDescent="0.25">
      <c r="A36" s="6">
        <f t="shared" si="2"/>
        <v>35</v>
      </c>
      <c r="B36" s="15"/>
      <c r="C36" s="8" t="s">
        <v>20</v>
      </c>
      <c r="D36" s="7" t="s">
        <v>31</v>
      </c>
      <c r="E36" s="22">
        <v>40474</v>
      </c>
      <c r="F36" s="24">
        <v>2010</v>
      </c>
      <c r="G36" s="22" t="s">
        <v>20</v>
      </c>
      <c r="H36" s="23">
        <v>1</v>
      </c>
      <c r="I36" s="24">
        <v>0</v>
      </c>
      <c r="J36" s="7" t="s">
        <v>38</v>
      </c>
      <c r="K36" s="7" t="s">
        <v>1</v>
      </c>
      <c r="L36" s="6" t="s">
        <v>49</v>
      </c>
      <c r="X36" s="4"/>
      <c r="Y36" s="5"/>
      <c r="Z36" s="3"/>
      <c r="AA36" s="2"/>
      <c r="AB36" s="1"/>
      <c r="AC36" s="1"/>
      <c r="AD36" s="1"/>
      <c r="AE36" s="1"/>
      <c r="AF36" s="1"/>
    </row>
    <row r="37" spans="1:32" ht="123" customHeight="1" x14ac:dyDescent="0.25">
      <c r="A37" s="6">
        <f t="shared" si="2"/>
        <v>36</v>
      </c>
      <c r="B37" s="15"/>
      <c r="C37" s="8" t="s">
        <v>52</v>
      </c>
      <c r="D37" s="7" t="s">
        <v>51</v>
      </c>
      <c r="E37" s="22">
        <v>40607</v>
      </c>
      <c r="F37" s="24">
        <v>2011</v>
      </c>
      <c r="G37" s="22" t="s">
        <v>20</v>
      </c>
      <c r="H37" s="23">
        <v>4</v>
      </c>
      <c r="I37" s="24">
        <v>2</v>
      </c>
      <c r="J37" s="7" t="s">
        <v>24</v>
      </c>
      <c r="K37" s="7" t="s">
        <v>1</v>
      </c>
      <c r="L37" s="6" t="s">
        <v>49</v>
      </c>
      <c r="X37" s="4"/>
      <c r="Y37" s="5"/>
      <c r="Z37" s="3"/>
      <c r="AA37" s="2"/>
      <c r="AB37" s="1"/>
      <c r="AC37" s="1"/>
      <c r="AD37" s="1"/>
      <c r="AE37" s="1"/>
      <c r="AF37" s="1"/>
    </row>
    <row r="38" spans="1:32" ht="123" customHeight="1" x14ac:dyDescent="0.25">
      <c r="A38" s="6">
        <f t="shared" si="2"/>
        <v>37</v>
      </c>
      <c r="B38" s="15"/>
      <c r="C38" s="8" t="s">
        <v>26</v>
      </c>
      <c r="D38" s="7" t="s">
        <v>50</v>
      </c>
      <c r="E38" s="22">
        <v>40622</v>
      </c>
      <c r="F38" s="24">
        <v>2011</v>
      </c>
      <c r="G38" s="22" t="s">
        <v>86</v>
      </c>
      <c r="H38" s="23">
        <v>0</v>
      </c>
      <c r="I38" s="24">
        <v>2</v>
      </c>
      <c r="J38" s="7" t="s">
        <v>24</v>
      </c>
      <c r="K38" s="7" t="s">
        <v>1</v>
      </c>
      <c r="L38" s="6" t="s">
        <v>49</v>
      </c>
      <c r="X38" s="4"/>
      <c r="Y38" s="5"/>
      <c r="Z38" s="3"/>
      <c r="AA38" s="2"/>
      <c r="AB38" s="1"/>
      <c r="AC38" s="1"/>
      <c r="AD38" s="1"/>
      <c r="AE38" s="1"/>
      <c r="AF38" s="1"/>
    </row>
    <row r="39" spans="1:32" ht="123" customHeight="1" x14ac:dyDescent="0.25">
      <c r="A39" s="6">
        <f t="shared" ref="A39:A108" si="3">SUM(A38+1)</f>
        <v>38</v>
      </c>
      <c r="B39" s="15"/>
      <c r="C39" s="8" t="s">
        <v>48</v>
      </c>
      <c r="D39" s="7" t="s">
        <v>6</v>
      </c>
      <c r="E39" s="22">
        <v>40793</v>
      </c>
      <c r="F39" s="24">
        <v>2011</v>
      </c>
      <c r="G39" s="22" t="s">
        <v>20</v>
      </c>
      <c r="H39" s="23">
        <v>4</v>
      </c>
      <c r="I39" s="24">
        <v>0</v>
      </c>
      <c r="J39" s="7" t="s">
        <v>38</v>
      </c>
      <c r="K39" s="7" t="s">
        <v>1</v>
      </c>
      <c r="L39" s="6" t="s">
        <v>0</v>
      </c>
      <c r="X39" s="4"/>
      <c r="Y39" s="5"/>
      <c r="Z39" s="3"/>
      <c r="AA39" s="2"/>
      <c r="AB39" s="1"/>
      <c r="AC39" s="1"/>
      <c r="AD39" s="1"/>
      <c r="AE39" s="1"/>
      <c r="AF39" s="1"/>
    </row>
    <row r="40" spans="1:32" ht="123" customHeight="1" x14ac:dyDescent="0.25">
      <c r="A40" s="6">
        <f t="shared" si="3"/>
        <v>39</v>
      </c>
      <c r="B40" s="15"/>
      <c r="C40" s="8" t="s">
        <v>40</v>
      </c>
      <c r="D40" s="7" t="s">
        <v>47</v>
      </c>
      <c r="E40" s="22">
        <v>40824</v>
      </c>
      <c r="F40" s="24">
        <v>2011</v>
      </c>
      <c r="G40" s="22" t="s">
        <v>85</v>
      </c>
      <c r="H40" s="23">
        <v>2</v>
      </c>
      <c r="I40" s="24">
        <v>2</v>
      </c>
      <c r="J40" s="7" t="s">
        <v>38</v>
      </c>
      <c r="K40" s="7" t="s">
        <v>36</v>
      </c>
      <c r="L40" s="6" t="s">
        <v>0</v>
      </c>
      <c r="X40" s="4"/>
      <c r="Y40" s="5"/>
      <c r="Z40" s="3"/>
      <c r="AA40" s="2"/>
      <c r="AB40" s="1"/>
      <c r="AC40" s="1"/>
      <c r="AD40" s="1"/>
      <c r="AE40" s="1"/>
      <c r="AF40" s="1"/>
    </row>
    <row r="41" spans="1:32" ht="123" customHeight="1" x14ac:dyDescent="0.25">
      <c r="A41" s="32">
        <f t="shared" si="3"/>
        <v>40</v>
      </c>
      <c r="B41" s="26"/>
      <c r="C41" s="8" t="s">
        <v>26</v>
      </c>
      <c r="D41" s="7" t="s">
        <v>29</v>
      </c>
      <c r="E41" s="22">
        <v>41028</v>
      </c>
      <c r="F41" s="24">
        <v>2012</v>
      </c>
      <c r="G41" s="22" t="s">
        <v>20</v>
      </c>
      <c r="H41" s="23">
        <v>3</v>
      </c>
      <c r="I41" s="24">
        <v>1</v>
      </c>
      <c r="J41" s="7" t="s">
        <v>24</v>
      </c>
      <c r="K41" s="7" t="s">
        <v>1</v>
      </c>
      <c r="L41" s="6" t="s">
        <v>0</v>
      </c>
      <c r="X41" s="4"/>
      <c r="Y41" s="5"/>
      <c r="Z41" s="3"/>
      <c r="AA41" s="2"/>
      <c r="AB41" s="1"/>
      <c r="AC41" s="1"/>
      <c r="AD41" s="1"/>
      <c r="AE41" s="1"/>
      <c r="AF41" s="1"/>
    </row>
    <row r="42" spans="1:32" ht="123" customHeight="1" x14ac:dyDescent="0.25">
      <c r="A42" s="6">
        <f t="shared" si="3"/>
        <v>41</v>
      </c>
      <c r="B42" s="15"/>
      <c r="C42" s="8" t="s">
        <v>32</v>
      </c>
      <c r="D42" s="7" t="s">
        <v>13</v>
      </c>
      <c r="E42" s="22">
        <v>41322</v>
      </c>
      <c r="F42" s="24">
        <v>2013</v>
      </c>
      <c r="G42" s="22" t="s">
        <v>86</v>
      </c>
      <c r="H42" s="23">
        <v>0</v>
      </c>
      <c r="I42" s="24">
        <v>1</v>
      </c>
      <c r="J42" s="7" t="s">
        <v>24</v>
      </c>
      <c r="K42" s="7" t="s">
        <v>1</v>
      </c>
      <c r="L42" s="6" t="s">
        <v>0</v>
      </c>
      <c r="X42" s="4"/>
      <c r="Y42" s="5"/>
      <c r="Z42" s="3"/>
      <c r="AA42" s="2"/>
      <c r="AB42" s="1"/>
      <c r="AC42" s="1"/>
      <c r="AD42" s="1"/>
      <c r="AE42" s="1"/>
      <c r="AF42" s="1"/>
    </row>
    <row r="43" spans="1:32" ht="123" customHeight="1" x14ac:dyDescent="0.25">
      <c r="A43" s="32">
        <f t="shared" si="3"/>
        <v>42</v>
      </c>
      <c r="B43" s="26"/>
      <c r="C43" s="8" t="s">
        <v>30</v>
      </c>
      <c r="D43" s="7" t="s">
        <v>31</v>
      </c>
      <c r="E43" s="22">
        <v>41399</v>
      </c>
      <c r="F43" s="24">
        <v>2013</v>
      </c>
      <c r="G43" s="22" t="s">
        <v>20</v>
      </c>
      <c r="H43" s="23">
        <v>1</v>
      </c>
      <c r="I43" s="24">
        <v>0</v>
      </c>
      <c r="J43" s="7" t="s">
        <v>24</v>
      </c>
      <c r="K43" s="30" t="s">
        <v>78</v>
      </c>
      <c r="L43" s="6" t="s">
        <v>0</v>
      </c>
      <c r="X43" s="4"/>
      <c r="Y43" s="5"/>
      <c r="Z43" s="3"/>
      <c r="AA43" s="2"/>
      <c r="AB43" s="1"/>
      <c r="AC43" s="1"/>
      <c r="AD43" s="1"/>
      <c r="AE43" s="1"/>
      <c r="AF43" s="1"/>
    </row>
    <row r="44" spans="1:32" ht="123" customHeight="1" x14ac:dyDescent="0.25">
      <c r="A44" s="6">
        <f t="shared" si="3"/>
        <v>43</v>
      </c>
      <c r="B44" s="15"/>
      <c r="C44" s="8" t="s">
        <v>46</v>
      </c>
      <c r="D44" s="7" t="s">
        <v>13</v>
      </c>
      <c r="E44" s="22">
        <v>41552</v>
      </c>
      <c r="F44" s="24">
        <v>2013</v>
      </c>
      <c r="G44" s="22" t="s">
        <v>86</v>
      </c>
      <c r="H44" s="23">
        <v>0</v>
      </c>
      <c r="I44" s="24">
        <v>1</v>
      </c>
      <c r="J44" s="7" t="s">
        <v>38</v>
      </c>
      <c r="K44" s="7" t="s">
        <v>23</v>
      </c>
      <c r="L44" s="6" t="s">
        <v>0</v>
      </c>
      <c r="X44" s="4"/>
      <c r="Y44" s="5"/>
      <c r="Z44" s="3"/>
      <c r="AA44" s="2"/>
      <c r="AB44" s="1"/>
      <c r="AC44" s="1"/>
      <c r="AD44" s="1"/>
      <c r="AE44" s="1"/>
      <c r="AF44" s="1"/>
    </row>
    <row r="45" spans="1:32" ht="123" customHeight="1" x14ac:dyDescent="0.25">
      <c r="A45" s="6">
        <f t="shared" si="3"/>
        <v>44</v>
      </c>
      <c r="B45" s="15"/>
      <c r="C45" s="8" t="s">
        <v>11</v>
      </c>
      <c r="D45" s="7" t="s">
        <v>17</v>
      </c>
      <c r="E45" s="22">
        <v>41616</v>
      </c>
      <c r="F45" s="24">
        <v>2013</v>
      </c>
      <c r="G45" s="22" t="s">
        <v>20</v>
      </c>
      <c r="H45" s="23">
        <v>3</v>
      </c>
      <c r="I45" s="24">
        <v>0</v>
      </c>
      <c r="J45" s="7" t="s">
        <v>38</v>
      </c>
      <c r="K45" s="7" t="s">
        <v>23</v>
      </c>
      <c r="L45" s="6" t="s">
        <v>0</v>
      </c>
      <c r="X45" s="4"/>
      <c r="Y45" s="5"/>
      <c r="Z45" s="3"/>
      <c r="AA45" s="2"/>
      <c r="AB45" s="1"/>
      <c r="AC45" s="1"/>
      <c r="AD45" s="1"/>
      <c r="AE45" s="1"/>
      <c r="AF45" s="1"/>
    </row>
    <row r="46" spans="1:32" ht="123" customHeight="1" x14ac:dyDescent="0.25">
      <c r="A46" s="6">
        <f t="shared" si="3"/>
        <v>45</v>
      </c>
      <c r="B46" s="15"/>
      <c r="C46" s="8" t="s">
        <v>45</v>
      </c>
      <c r="D46" s="7" t="s">
        <v>6</v>
      </c>
      <c r="E46" s="22">
        <v>41675</v>
      </c>
      <c r="F46" s="24">
        <v>2014</v>
      </c>
      <c r="G46" s="22" t="s">
        <v>20</v>
      </c>
      <c r="H46" s="23">
        <v>4</v>
      </c>
      <c r="I46" s="24">
        <v>0</v>
      </c>
      <c r="J46" s="7" t="s">
        <v>43</v>
      </c>
      <c r="K46" s="7" t="s">
        <v>23</v>
      </c>
      <c r="L46" s="6" t="s">
        <v>0</v>
      </c>
      <c r="X46" s="4"/>
      <c r="Y46" s="5"/>
      <c r="Z46" s="3"/>
      <c r="AA46" s="2"/>
      <c r="AB46" s="1"/>
      <c r="AC46" s="1"/>
      <c r="AD46" s="1"/>
      <c r="AE46" s="1"/>
      <c r="AF46" s="1"/>
    </row>
    <row r="47" spans="1:32" ht="123" customHeight="1" x14ac:dyDescent="0.25">
      <c r="A47" s="6">
        <f t="shared" si="3"/>
        <v>46</v>
      </c>
      <c r="B47" s="15"/>
      <c r="C47" s="8" t="s">
        <v>44</v>
      </c>
      <c r="D47" s="7" t="s">
        <v>31</v>
      </c>
      <c r="E47" s="22">
        <v>41716</v>
      </c>
      <c r="F47" s="24">
        <v>2014</v>
      </c>
      <c r="G47" s="22" t="s">
        <v>20</v>
      </c>
      <c r="H47" s="23">
        <v>1</v>
      </c>
      <c r="I47" s="24">
        <v>0</v>
      </c>
      <c r="J47" s="7" t="s">
        <v>43</v>
      </c>
      <c r="K47" s="7" t="s">
        <v>23</v>
      </c>
      <c r="L47" s="6" t="s">
        <v>0</v>
      </c>
      <c r="X47" s="4"/>
      <c r="Y47" s="5"/>
      <c r="Z47" s="3"/>
      <c r="AA47" s="2"/>
      <c r="AB47" s="1"/>
      <c r="AC47" s="1"/>
      <c r="AD47" s="1"/>
      <c r="AE47" s="1"/>
      <c r="AF47" s="1"/>
    </row>
    <row r="48" spans="1:32" ht="123" customHeight="1" x14ac:dyDescent="0.25">
      <c r="A48" s="41">
        <f t="shared" si="3"/>
        <v>47</v>
      </c>
      <c r="B48" s="15"/>
      <c r="C48" s="8" t="s">
        <v>32</v>
      </c>
      <c r="D48" s="7" t="s">
        <v>13</v>
      </c>
      <c r="E48" s="22">
        <v>41847</v>
      </c>
      <c r="F48" s="24">
        <v>2014</v>
      </c>
      <c r="G48" s="22" t="s">
        <v>86</v>
      </c>
      <c r="H48" s="23">
        <v>0</v>
      </c>
      <c r="I48" s="24">
        <v>1</v>
      </c>
      <c r="J48" s="7" t="s">
        <v>38</v>
      </c>
      <c r="K48" s="7" t="s">
        <v>23</v>
      </c>
      <c r="L48" s="6" t="s">
        <v>0</v>
      </c>
      <c r="X48" s="4"/>
      <c r="Y48" s="5"/>
      <c r="Z48" s="3"/>
      <c r="AA48" s="2"/>
      <c r="AB48" s="1"/>
      <c r="AC48" s="1"/>
      <c r="AD48" s="1"/>
      <c r="AE48" s="1"/>
      <c r="AF48" s="1"/>
    </row>
    <row r="49" spans="1:32" ht="123" customHeight="1" x14ac:dyDescent="0.25">
      <c r="A49" s="6">
        <f t="shared" si="3"/>
        <v>48</v>
      </c>
      <c r="B49" s="15"/>
      <c r="C49" s="8" t="s">
        <v>42</v>
      </c>
      <c r="D49" s="7" t="s">
        <v>31</v>
      </c>
      <c r="E49" s="22">
        <v>41874</v>
      </c>
      <c r="F49" s="24">
        <v>2014</v>
      </c>
      <c r="G49" s="22" t="s">
        <v>20</v>
      </c>
      <c r="H49" s="23">
        <v>1</v>
      </c>
      <c r="I49" s="24">
        <v>0</v>
      </c>
      <c r="J49" s="7" t="s">
        <v>38</v>
      </c>
      <c r="K49" s="7" t="s">
        <v>23</v>
      </c>
      <c r="L49" s="6" t="s">
        <v>0</v>
      </c>
      <c r="X49" s="4"/>
      <c r="Y49" s="5"/>
      <c r="Z49" s="3"/>
      <c r="AA49" s="2"/>
      <c r="AB49" s="1"/>
      <c r="AC49" s="1"/>
      <c r="AD49" s="1"/>
      <c r="AE49" s="1"/>
      <c r="AF49" s="1"/>
    </row>
    <row r="50" spans="1:32" ht="123" customHeight="1" x14ac:dyDescent="0.25">
      <c r="A50" s="6">
        <f t="shared" si="3"/>
        <v>49</v>
      </c>
      <c r="B50" s="15"/>
      <c r="C50" s="8" t="s">
        <v>41</v>
      </c>
      <c r="D50" s="7" t="s">
        <v>31</v>
      </c>
      <c r="E50" s="22">
        <v>41882</v>
      </c>
      <c r="F50" s="24">
        <v>2014</v>
      </c>
      <c r="G50" s="22" t="s">
        <v>20</v>
      </c>
      <c r="H50" s="23">
        <v>1</v>
      </c>
      <c r="I50" s="24">
        <v>0</v>
      </c>
      <c r="J50" s="7" t="s">
        <v>38</v>
      </c>
      <c r="K50" s="7" t="s">
        <v>23</v>
      </c>
      <c r="L50" s="6" t="s">
        <v>0</v>
      </c>
      <c r="X50" s="4"/>
      <c r="Y50" s="5"/>
      <c r="Z50" s="3"/>
      <c r="AA50" s="2"/>
      <c r="AB50" s="1"/>
      <c r="AC50" s="1"/>
      <c r="AD50" s="1"/>
      <c r="AE50" s="1"/>
      <c r="AF50" s="1"/>
    </row>
    <row r="51" spans="1:32" ht="123" customHeight="1" x14ac:dyDescent="0.25">
      <c r="A51" s="6">
        <f t="shared" si="3"/>
        <v>50</v>
      </c>
      <c r="B51" s="15"/>
      <c r="C51" s="42" t="s">
        <v>40</v>
      </c>
      <c r="D51" s="43" t="s">
        <v>8</v>
      </c>
      <c r="E51" s="44">
        <v>41899</v>
      </c>
      <c r="F51" s="45">
        <v>2014</v>
      </c>
      <c r="G51" s="44" t="s">
        <v>86</v>
      </c>
      <c r="H51" s="46">
        <v>2</v>
      </c>
      <c r="I51" s="45">
        <v>3</v>
      </c>
      <c r="J51" s="43" t="s">
        <v>38</v>
      </c>
      <c r="K51" s="43" t="s">
        <v>23</v>
      </c>
      <c r="L51" s="41" t="s">
        <v>0</v>
      </c>
      <c r="X51" s="4"/>
      <c r="Y51" s="5"/>
      <c r="Z51" s="3"/>
      <c r="AA51" s="2"/>
      <c r="AB51" s="1"/>
      <c r="AC51" s="1"/>
      <c r="AD51" s="1"/>
      <c r="AE51" s="1"/>
      <c r="AF51" s="1"/>
    </row>
    <row r="52" spans="1:32" ht="123" customHeight="1" x14ac:dyDescent="0.25">
      <c r="A52" s="6">
        <f t="shared" si="3"/>
        <v>51</v>
      </c>
      <c r="B52" s="15"/>
      <c r="C52" s="8" t="s">
        <v>39</v>
      </c>
      <c r="D52" s="7" t="s">
        <v>13</v>
      </c>
      <c r="E52" s="22">
        <v>41920</v>
      </c>
      <c r="F52" s="24">
        <v>2014</v>
      </c>
      <c r="G52" s="22" t="s">
        <v>86</v>
      </c>
      <c r="H52" s="23">
        <v>0</v>
      </c>
      <c r="I52" s="24">
        <v>1</v>
      </c>
      <c r="J52" s="7" t="s">
        <v>38</v>
      </c>
      <c r="K52" s="7" t="s">
        <v>23</v>
      </c>
      <c r="L52" s="6" t="s">
        <v>0</v>
      </c>
      <c r="X52" s="4"/>
      <c r="Y52" s="5"/>
      <c r="Z52" s="3"/>
      <c r="AA52" s="2"/>
      <c r="AB52" s="1"/>
      <c r="AC52" s="1"/>
      <c r="AD52" s="1"/>
      <c r="AE52" s="1"/>
      <c r="AF52" s="1"/>
    </row>
    <row r="53" spans="1:32" ht="123" customHeight="1" x14ac:dyDescent="0.25">
      <c r="A53" s="6">
        <f t="shared" si="3"/>
        <v>52</v>
      </c>
      <c r="B53" s="15"/>
      <c r="C53" s="8" t="s">
        <v>37</v>
      </c>
      <c r="D53" s="7" t="s">
        <v>31</v>
      </c>
      <c r="E53" s="22">
        <v>42035</v>
      </c>
      <c r="F53" s="24">
        <v>2015</v>
      </c>
      <c r="G53" s="22" t="s">
        <v>20</v>
      </c>
      <c r="H53" s="23">
        <v>1</v>
      </c>
      <c r="I53" s="24">
        <v>0</v>
      </c>
      <c r="J53" s="7" t="s">
        <v>24</v>
      </c>
      <c r="K53" s="7" t="s">
        <v>36</v>
      </c>
      <c r="L53" s="6" t="s">
        <v>0</v>
      </c>
      <c r="X53" s="4"/>
      <c r="Y53" s="5"/>
      <c r="Z53" s="3"/>
      <c r="AA53" s="2"/>
      <c r="AB53" s="1"/>
      <c r="AC53" s="1"/>
      <c r="AD53" s="1"/>
      <c r="AE53" s="1"/>
      <c r="AF53" s="1"/>
    </row>
    <row r="54" spans="1:32" ht="123" customHeight="1" x14ac:dyDescent="0.25">
      <c r="A54" s="6">
        <f t="shared" si="3"/>
        <v>53</v>
      </c>
      <c r="B54" s="15"/>
      <c r="C54" s="8" t="s">
        <v>35</v>
      </c>
      <c r="D54" s="7" t="s">
        <v>6</v>
      </c>
      <c r="E54" s="22">
        <v>42042</v>
      </c>
      <c r="F54" s="24">
        <v>2015</v>
      </c>
      <c r="G54" s="22" t="s">
        <v>20</v>
      </c>
      <c r="H54" s="23">
        <v>4</v>
      </c>
      <c r="I54" s="24">
        <v>0</v>
      </c>
      <c r="J54" s="7" t="s">
        <v>24</v>
      </c>
      <c r="K54" s="7" t="s">
        <v>1</v>
      </c>
      <c r="L54" s="6" t="s">
        <v>0</v>
      </c>
      <c r="X54" s="4"/>
      <c r="Y54" s="5"/>
      <c r="Z54" s="3"/>
      <c r="AA54" s="2"/>
      <c r="AB54" s="1"/>
      <c r="AC54" s="1"/>
      <c r="AD54" s="1"/>
      <c r="AE54" s="1"/>
      <c r="AF54" s="1"/>
    </row>
    <row r="55" spans="1:32" ht="123" customHeight="1" x14ac:dyDescent="0.25">
      <c r="A55" s="6">
        <f t="shared" si="3"/>
        <v>54</v>
      </c>
      <c r="B55" s="15"/>
      <c r="C55" s="8" t="s">
        <v>34</v>
      </c>
      <c r="D55" s="7" t="s">
        <v>33</v>
      </c>
      <c r="E55" s="22">
        <v>42056</v>
      </c>
      <c r="F55" s="24">
        <v>2015</v>
      </c>
      <c r="G55" s="22" t="s">
        <v>20</v>
      </c>
      <c r="H55" s="23">
        <v>2</v>
      </c>
      <c r="I55" s="24">
        <v>1</v>
      </c>
      <c r="J55" s="7" t="s">
        <v>24</v>
      </c>
      <c r="K55" s="7" t="s">
        <v>1</v>
      </c>
      <c r="L55" s="6" t="s">
        <v>0</v>
      </c>
      <c r="M55" s="21"/>
      <c r="N55" s="28"/>
      <c r="O55" s="25"/>
      <c r="P55" s="25"/>
      <c r="Q55" s="25"/>
      <c r="R55" s="25"/>
      <c r="S55" s="25"/>
      <c r="T55" s="28"/>
      <c r="U55" s="25"/>
      <c r="V55" s="29"/>
      <c r="W55" s="25"/>
      <c r="X55" s="4"/>
      <c r="Y55" s="5"/>
      <c r="Z55" s="3"/>
      <c r="AA55" s="2"/>
      <c r="AB55" s="1"/>
      <c r="AC55" s="1"/>
      <c r="AD55" s="1"/>
      <c r="AE55" s="1"/>
      <c r="AF55" s="1"/>
    </row>
    <row r="56" spans="1:32" ht="123" customHeight="1" x14ac:dyDescent="0.25">
      <c r="A56" s="6">
        <f t="shared" si="3"/>
        <v>55</v>
      </c>
      <c r="B56" s="15"/>
      <c r="C56" s="8" t="s">
        <v>32</v>
      </c>
      <c r="D56" s="7" t="s">
        <v>31</v>
      </c>
      <c r="E56" s="22">
        <v>42064</v>
      </c>
      <c r="F56" s="24">
        <v>2015</v>
      </c>
      <c r="G56" s="22" t="s">
        <v>20</v>
      </c>
      <c r="H56" s="23">
        <v>1</v>
      </c>
      <c r="I56" s="24">
        <v>0</v>
      </c>
      <c r="J56" s="7" t="s">
        <v>24</v>
      </c>
      <c r="K56" s="7" t="s">
        <v>23</v>
      </c>
      <c r="L56" s="6" t="s">
        <v>0</v>
      </c>
      <c r="M56" s="21"/>
      <c r="N56" s="28"/>
      <c r="O56" s="25"/>
      <c r="P56" s="25"/>
      <c r="Q56" s="25"/>
      <c r="R56" s="25"/>
      <c r="S56" s="25"/>
      <c r="T56" s="28"/>
      <c r="U56" s="25"/>
      <c r="V56" s="29"/>
      <c r="W56" s="25"/>
      <c r="X56" s="4"/>
      <c r="Y56" s="5"/>
      <c r="Z56" s="3"/>
      <c r="AA56" s="2"/>
      <c r="AB56" s="1"/>
      <c r="AC56" s="1"/>
      <c r="AD56" s="1"/>
      <c r="AE56" s="1"/>
      <c r="AF56" s="1"/>
    </row>
    <row r="57" spans="1:32" ht="123" customHeight="1" x14ac:dyDescent="0.25">
      <c r="A57" s="6">
        <f t="shared" si="3"/>
        <v>56</v>
      </c>
      <c r="B57" s="15"/>
      <c r="C57" s="8" t="s">
        <v>30</v>
      </c>
      <c r="D57" s="7" t="s">
        <v>75</v>
      </c>
      <c r="E57" s="22">
        <v>42071</v>
      </c>
      <c r="F57" s="24">
        <v>2015</v>
      </c>
      <c r="G57" s="22" t="s">
        <v>86</v>
      </c>
      <c r="H57" s="23">
        <v>1</v>
      </c>
      <c r="I57" s="24">
        <v>3</v>
      </c>
      <c r="J57" s="7" t="s">
        <v>24</v>
      </c>
      <c r="K57" s="7" t="s">
        <v>23</v>
      </c>
      <c r="L57" s="6" t="s">
        <v>0</v>
      </c>
      <c r="M57" s="21"/>
      <c r="N57" s="25"/>
      <c r="O57" s="25"/>
      <c r="P57" s="25"/>
      <c r="Q57" s="25"/>
      <c r="R57" s="25"/>
      <c r="S57" s="25"/>
      <c r="T57" s="28"/>
      <c r="U57" s="25"/>
      <c r="V57" s="29"/>
      <c r="W57" s="25"/>
      <c r="X57" s="4"/>
      <c r="Y57" s="5"/>
      <c r="Z57" s="3"/>
      <c r="AA57" s="2"/>
      <c r="AB57" s="1"/>
      <c r="AC57" s="1"/>
      <c r="AD57" s="1"/>
      <c r="AE57" s="1"/>
      <c r="AF57" s="1"/>
    </row>
    <row r="58" spans="1:32" ht="123" customHeight="1" x14ac:dyDescent="0.25">
      <c r="A58" s="6">
        <f t="shared" si="3"/>
        <v>57</v>
      </c>
      <c r="B58" s="15"/>
      <c r="C58" s="8" t="s">
        <v>28</v>
      </c>
      <c r="D58" s="7" t="s">
        <v>17</v>
      </c>
      <c r="E58" s="22">
        <v>42078</v>
      </c>
      <c r="F58" s="24">
        <v>2015</v>
      </c>
      <c r="G58" s="22" t="s">
        <v>20</v>
      </c>
      <c r="H58" s="23">
        <v>3</v>
      </c>
      <c r="I58" s="24">
        <v>0</v>
      </c>
      <c r="J58" s="7" t="s">
        <v>24</v>
      </c>
      <c r="K58" s="7" t="s">
        <v>1</v>
      </c>
      <c r="L58" s="6" t="s">
        <v>0</v>
      </c>
      <c r="M58" s="21"/>
      <c r="N58" s="25"/>
      <c r="O58" s="25"/>
      <c r="P58" s="25"/>
      <c r="Q58" s="25"/>
      <c r="R58" s="25"/>
      <c r="S58" s="25"/>
      <c r="T58" s="28"/>
      <c r="U58" s="25"/>
      <c r="V58" s="29"/>
      <c r="W58" s="25"/>
      <c r="X58" s="4"/>
      <c r="Y58" s="5"/>
      <c r="Z58" s="3"/>
      <c r="AA58" s="2"/>
      <c r="AB58" s="1"/>
      <c r="AC58" s="1"/>
      <c r="AD58" s="1"/>
      <c r="AE58" s="1"/>
      <c r="AF58" s="1"/>
    </row>
    <row r="59" spans="1:32" ht="123" customHeight="1" x14ac:dyDescent="0.25">
      <c r="A59" s="6">
        <f t="shared" si="3"/>
        <v>58</v>
      </c>
      <c r="B59" s="15"/>
      <c r="C59" s="8" t="s">
        <v>26</v>
      </c>
      <c r="D59" s="7" t="s">
        <v>15</v>
      </c>
      <c r="E59" s="22">
        <v>42092</v>
      </c>
      <c r="F59" s="24">
        <v>2015</v>
      </c>
      <c r="G59" s="22" t="s">
        <v>85</v>
      </c>
      <c r="H59" s="23">
        <v>1</v>
      </c>
      <c r="I59" s="24">
        <v>1</v>
      </c>
      <c r="J59" s="7" t="s">
        <v>24</v>
      </c>
      <c r="K59" s="7" t="s">
        <v>23</v>
      </c>
      <c r="L59" s="6" t="s">
        <v>0</v>
      </c>
      <c r="M59" s="21"/>
      <c r="N59" s="25"/>
      <c r="O59" s="25"/>
      <c r="P59" s="25"/>
      <c r="Q59" s="25"/>
      <c r="R59" s="25"/>
      <c r="S59" s="25"/>
      <c r="T59" s="28"/>
      <c r="U59" s="25"/>
      <c r="V59" s="29"/>
      <c r="W59" s="25"/>
      <c r="X59" s="4"/>
      <c r="Y59" s="5"/>
      <c r="Z59" s="3"/>
      <c r="AA59" s="2"/>
      <c r="AB59" s="1"/>
      <c r="AC59" s="1"/>
      <c r="AD59" s="1"/>
      <c r="AE59" s="1"/>
      <c r="AF59" s="1"/>
    </row>
    <row r="60" spans="1:32" ht="123" customHeight="1" x14ac:dyDescent="0.25">
      <c r="A60" s="6">
        <f t="shared" si="3"/>
        <v>59</v>
      </c>
      <c r="B60" s="15"/>
      <c r="C60" s="8" t="s">
        <v>27</v>
      </c>
      <c r="D60" s="7" t="s">
        <v>21</v>
      </c>
      <c r="E60" s="22">
        <v>42099</v>
      </c>
      <c r="F60" s="24">
        <v>2015</v>
      </c>
      <c r="G60" s="22" t="s">
        <v>20</v>
      </c>
      <c r="H60" s="23">
        <v>4</v>
      </c>
      <c r="I60" s="24">
        <v>1</v>
      </c>
      <c r="J60" s="7" t="s">
        <v>24</v>
      </c>
      <c r="K60" s="7" t="s">
        <v>1</v>
      </c>
      <c r="L60" s="6" t="s">
        <v>0</v>
      </c>
      <c r="M60" s="21"/>
      <c r="N60" s="25"/>
      <c r="O60" s="25"/>
      <c r="P60" s="25"/>
      <c r="Q60" s="25"/>
      <c r="R60" s="25"/>
      <c r="S60" s="25"/>
      <c r="T60" s="28"/>
      <c r="U60" s="25"/>
      <c r="V60" s="29"/>
      <c r="W60" s="25"/>
      <c r="X60" s="4"/>
      <c r="Y60" s="5"/>
      <c r="Z60" s="3"/>
      <c r="AA60" s="2"/>
      <c r="AB60" s="1"/>
      <c r="AC60" s="1"/>
      <c r="AD60" s="1"/>
      <c r="AE60" s="1"/>
      <c r="AF60" s="1"/>
    </row>
    <row r="61" spans="1:32" ht="123" customHeight="1" x14ac:dyDescent="0.25">
      <c r="A61" s="6">
        <f t="shared" si="3"/>
        <v>60</v>
      </c>
      <c r="B61" s="15"/>
      <c r="C61" s="8" t="s">
        <v>26</v>
      </c>
      <c r="D61" s="7" t="s">
        <v>25</v>
      </c>
      <c r="E61" s="22">
        <v>42127</v>
      </c>
      <c r="F61" s="24">
        <v>2015</v>
      </c>
      <c r="G61" s="22" t="s">
        <v>86</v>
      </c>
      <c r="H61" s="23">
        <v>1</v>
      </c>
      <c r="I61" s="24">
        <v>2</v>
      </c>
      <c r="J61" s="7" t="s">
        <v>24</v>
      </c>
      <c r="K61" s="7" t="s">
        <v>23</v>
      </c>
      <c r="L61" s="6" t="s">
        <v>0</v>
      </c>
      <c r="M61" s="21"/>
      <c r="N61" s="25"/>
      <c r="O61" s="25"/>
      <c r="P61" s="25"/>
      <c r="Q61" s="25"/>
      <c r="R61" s="25"/>
      <c r="S61" s="25"/>
      <c r="T61" s="28"/>
      <c r="U61" s="25"/>
      <c r="V61" s="29"/>
      <c r="W61" s="25"/>
      <c r="X61" s="4"/>
      <c r="Y61" s="5"/>
      <c r="Z61" s="3"/>
      <c r="AA61" s="2"/>
      <c r="AB61" s="1"/>
      <c r="AC61" s="1"/>
      <c r="AD61" s="1"/>
      <c r="AE61" s="1"/>
      <c r="AF61" s="1"/>
    </row>
    <row r="62" spans="1:32" ht="123" customHeight="1" x14ac:dyDescent="0.25">
      <c r="A62" s="6">
        <f t="shared" si="3"/>
        <v>61</v>
      </c>
      <c r="B62" s="15"/>
      <c r="C62" s="8" t="s">
        <v>22</v>
      </c>
      <c r="D62" s="7" t="s">
        <v>21</v>
      </c>
      <c r="E62" s="22">
        <v>42140</v>
      </c>
      <c r="F62" s="24">
        <v>2015</v>
      </c>
      <c r="G62" s="22" t="s">
        <v>20</v>
      </c>
      <c r="H62" s="23">
        <v>4</v>
      </c>
      <c r="I62" s="24">
        <v>1</v>
      </c>
      <c r="J62" s="7" t="s">
        <v>2</v>
      </c>
      <c r="K62" s="7" t="s">
        <v>1</v>
      </c>
      <c r="L62" s="6" t="s">
        <v>0</v>
      </c>
      <c r="M62" s="21"/>
      <c r="N62" s="25"/>
      <c r="O62" s="25"/>
      <c r="P62" s="25"/>
      <c r="Q62" s="25"/>
      <c r="R62" s="25"/>
      <c r="S62" s="25"/>
      <c r="T62" s="28"/>
      <c r="U62" s="25"/>
      <c r="V62" s="29"/>
      <c r="W62" s="25"/>
      <c r="X62" s="4"/>
      <c r="Y62" s="5"/>
      <c r="Z62" s="3"/>
      <c r="AA62" s="2"/>
      <c r="AB62" s="1"/>
      <c r="AC62" s="1"/>
      <c r="AD62" s="1"/>
      <c r="AE62" s="1"/>
      <c r="AF62" s="1"/>
    </row>
    <row r="63" spans="1:32" ht="123" customHeight="1" x14ac:dyDescent="0.25">
      <c r="A63" s="6">
        <f t="shared" si="3"/>
        <v>62</v>
      </c>
      <c r="B63" s="15"/>
      <c r="C63" s="8" t="s">
        <v>20</v>
      </c>
      <c r="D63" s="7" t="s">
        <v>19</v>
      </c>
      <c r="E63" s="22">
        <v>42154</v>
      </c>
      <c r="F63" s="24">
        <v>2015</v>
      </c>
      <c r="G63" s="22" t="s">
        <v>20</v>
      </c>
      <c r="H63" s="23">
        <v>2</v>
      </c>
      <c r="I63" s="24">
        <v>0</v>
      </c>
      <c r="J63" s="7" t="s">
        <v>2</v>
      </c>
      <c r="K63" s="7" t="s">
        <v>1</v>
      </c>
      <c r="L63" s="6" t="s">
        <v>0</v>
      </c>
      <c r="M63" s="21"/>
      <c r="N63" s="25"/>
      <c r="O63" s="25"/>
      <c r="P63" s="25"/>
      <c r="Q63" s="25"/>
      <c r="R63" s="25"/>
      <c r="S63" s="25"/>
      <c r="T63" s="28"/>
      <c r="U63" s="25"/>
      <c r="V63" s="29"/>
      <c r="W63" s="25"/>
      <c r="X63" s="4"/>
      <c r="Y63" s="5"/>
      <c r="Z63" s="3"/>
      <c r="AA63" s="2"/>
      <c r="AB63" s="1"/>
      <c r="AC63" s="1"/>
      <c r="AD63" s="1"/>
      <c r="AE63" s="1"/>
      <c r="AF63" s="1"/>
    </row>
    <row r="64" spans="1:32" ht="123" customHeight="1" x14ac:dyDescent="0.25">
      <c r="A64" s="6">
        <f t="shared" si="3"/>
        <v>63</v>
      </c>
      <c r="B64" s="15"/>
      <c r="C64" s="8" t="s">
        <v>18</v>
      </c>
      <c r="D64" s="7" t="s">
        <v>17</v>
      </c>
      <c r="E64" s="22">
        <v>42160</v>
      </c>
      <c r="F64" s="24">
        <v>2015</v>
      </c>
      <c r="G64" s="22" t="s">
        <v>20</v>
      </c>
      <c r="H64" s="23">
        <v>3</v>
      </c>
      <c r="I64" s="24">
        <v>0</v>
      </c>
      <c r="J64" s="7" t="s">
        <v>2</v>
      </c>
      <c r="K64" s="7" t="s">
        <v>1</v>
      </c>
      <c r="L64" s="6" t="s">
        <v>0</v>
      </c>
      <c r="M64" s="21"/>
      <c r="N64" s="25"/>
      <c r="O64" s="25"/>
      <c r="P64" s="25"/>
      <c r="Q64" s="25"/>
      <c r="R64" s="25"/>
      <c r="S64" s="25"/>
      <c r="T64" s="28"/>
      <c r="U64" s="25"/>
      <c r="V64" s="29"/>
      <c r="W64" s="25"/>
      <c r="X64" s="4"/>
      <c r="Y64" s="5"/>
      <c r="Z64" s="3"/>
      <c r="AA64" s="2"/>
      <c r="AB64" s="1"/>
      <c r="AC64" s="1"/>
      <c r="AD64" s="1"/>
      <c r="AE64" s="1"/>
      <c r="AF64" s="1"/>
    </row>
    <row r="65" spans="1:32" ht="123" customHeight="1" x14ac:dyDescent="0.25">
      <c r="A65" s="6">
        <f t="shared" si="3"/>
        <v>64</v>
      </c>
      <c r="B65" s="15"/>
      <c r="C65" s="8" t="s">
        <v>16</v>
      </c>
      <c r="D65" s="7" t="s">
        <v>15</v>
      </c>
      <c r="E65" s="22">
        <v>42174</v>
      </c>
      <c r="F65" s="24">
        <v>2015</v>
      </c>
      <c r="G65" s="22" t="s">
        <v>85</v>
      </c>
      <c r="H65" s="23">
        <v>1</v>
      </c>
      <c r="I65" s="24">
        <v>1</v>
      </c>
      <c r="J65" s="7" t="s">
        <v>2</v>
      </c>
      <c r="K65" s="7" t="s">
        <v>1</v>
      </c>
      <c r="L65" s="6" t="s">
        <v>0</v>
      </c>
      <c r="M65" s="21"/>
      <c r="N65" s="25"/>
      <c r="O65" s="25"/>
      <c r="P65" s="25"/>
      <c r="Q65" s="25"/>
      <c r="R65" s="25"/>
      <c r="S65" s="25"/>
      <c r="T65" s="28"/>
      <c r="U65" s="25"/>
      <c r="V65" s="29"/>
      <c r="W65" s="25"/>
      <c r="X65" s="4"/>
      <c r="Y65" s="5"/>
      <c r="Z65" s="3"/>
      <c r="AA65" s="2"/>
      <c r="AB65" s="1"/>
      <c r="AC65" s="1"/>
      <c r="AD65" s="1"/>
      <c r="AE65" s="1"/>
      <c r="AF65" s="1"/>
    </row>
    <row r="66" spans="1:32" ht="123" customHeight="1" x14ac:dyDescent="0.25">
      <c r="A66" s="6">
        <f t="shared" si="3"/>
        <v>65</v>
      </c>
      <c r="B66" s="15"/>
      <c r="C66" s="8" t="s">
        <v>14</v>
      </c>
      <c r="D66" s="7" t="s">
        <v>13</v>
      </c>
      <c r="E66" s="22">
        <v>42199</v>
      </c>
      <c r="F66" s="24">
        <v>2015</v>
      </c>
      <c r="G66" s="22" t="s">
        <v>86</v>
      </c>
      <c r="H66" s="23">
        <v>0</v>
      </c>
      <c r="I66" s="24">
        <v>1</v>
      </c>
      <c r="J66" s="7" t="s">
        <v>12</v>
      </c>
      <c r="K66" s="7" t="s">
        <v>1</v>
      </c>
      <c r="L66" s="6" t="s">
        <v>0</v>
      </c>
      <c r="M66" s="21"/>
      <c r="N66" s="25"/>
      <c r="O66" s="25"/>
      <c r="P66" s="25"/>
      <c r="Q66" s="25"/>
      <c r="R66" s="25"/>
      <c r="S66" s="25"/>
      <c r="T66" s="28"/>
      <c r="U66" s="25"/>
      <c r="V66" s="29"/>
      <c r="W66" s="25"/>
      <c r="X66" s="4"/>
      <c r="Y66" s="5"/>
      <c r="Z66" s="3"/>
      <c r="AA66" s="2"/>
      <c r="AB66" s="1"/>
      <c r="AC66" s="1"/>
      <c r="AD66" s="1"/>
      <c r="AE66" s="1"/>
      <c r="AF66" s="1"/>
    </row>
    <row r="67" spans="1:32" ht="123" customHeight="1" x14ac:dyDescent="0.25">
      <c r="A67" s="6">
        <f t="shared" si="3"/>
        <v>66</v>
      </c>
      <c r="B67" s="15"/>
      <c r="C67" s="8" t="s">
        <v>11</v>
      </c>
      <c r="D67" s="7" t="s">
        <v>10</v>
      </c>
      <c r="E67" s="22">
        <v>42213</v>
      </c>
      <c r="F67" s="24">
        <v>2015</v>
      </c>
      <c r="G67" s="22" t="s">
        <v>85</v>
      </c>
      <c r="H67" s="23">
        <v>0</v>
      </c>
      <c r="I67" s="24">
        <v>0</v>
      </c>
      <c r="J67" s="7" t="s">
        <v>2</v>
      </c>
      <c r="K67" s="7" t="s">
        <v>1</v>
      </c>
      <c r="L67" s="6" t="s">
        <v>0</v>
      </c>
      <c r="M67" s="21"/>
      <c r="N67" s="25"/>
      <c r="O67" s="25"/>
      <c r="P67" s="25"/>
      <c r="Q67" s="25"/>
      <c r="R67" s="25"/>
      <c r="S67" s="25"/>
      <c r="T67" s="28"/>
      <c r="U67" s="25"/>
      <c r="V67" s="29"/>
      <c r="W67" s="25"/>
      <c r="X67" s="4"/>
      <c r="Y67" s="5"/>
      <c r="Z67" s="3"/>
      <c r="AA67" s="2"/>
      <c r="AB67" s="1"/>
      <c r="AC67" s="1"/>
      <c r="AD67" s="1"/>
      <c r="AE67" s="1"/>
      <c r="AF67" s="1"/>
    </row>
    <row r="68" spans="1:32" ht="123" customHeight="1" x14ac:dyDescent="0.25">
      <c r="A68" s="6">
        <f t="shared" si="3"/>
        <v>67</v>
      </c>
      <c r="B68" s="15"/>
      <c r="C68" s="8" t="s">
        <v>9</v>
      </c>
      <c r="D68" s="7" t="s">
        <v>8</v>
      </c>
      <c r="E68" s="22">
        <v>42239</v>
      </c>
      <c r="F68" s="24">
        <v>2015</v>
      </c>
      <c r="G68" s="22" t="s">
        <v>86</v>
      </c>
      <c r="H68" s="23">
        <v>2</v>
      </c>
      <c r="I68" s="24">
        <v>3</v>
      </c>
      <c r="J68" s="7" t="s">
        <v>2</v>
      </c>
      <c r="K68" s="7" t="s">
        <v>1</v>
      </c>
      <c r="L68" s="6" t="s">
        <v>0</v>
      </c>
      <c r="M68" s="21"/>
      <c r="N68" s="25"/>
      <c r="O68" s="25"/>
      <c r="P68" s="25"/>
      <c r="Q68" s="25"/>
      <c r="R68" s="25"/>
      <c r="S68" s="25"/>
      <c r="T68" s="28"/>
      <c r="U68" s="25"/>
      <c r="V68" s="29"/>
      <c r="W68" s="25"/>
      <c r="X68" s="4"/>
      <c r="Y68" s="5"/>
      <c r="Z68" s="3"/>
      <c r="AA68" s="2"/>
      <c r="AB68" s="1"/>
      <c r="AC68" s="1"/>
      <c r="AD68" s="1"/>
      <c r="AE68" s="1"/>
      <c r="AF68" s="1"/>
    </row>
    <row r="69" spans="1:32" ht="123" customHeight="1" x14ac:dyDescent="0.25">
      <c r="A69" s="6">
        <f t="shared" si="3"/>
        <v>68</v>
      </c>
      <c r="B69" s="15"/>
      <c r="C69" s="8" t="s">
        <v>7</v>
      </c>
      <c r="D69" s="7" t="s">
        <v>6</v>
      </c>
      <c r="E69" s="22">
        <v>42233</v>
      </c>
      <c r="F69" s="24">
        <v>2015</v>
      </c>
      <c r="G69" s="22" t="s">
        <v>20</v>
      </c>
      <c r="H69" s="23">
        <v>4</v>
      </c>
      <c r="I69" s="24">
        <v>0</v>
      </c>
      <c r="J69" s="7" t="s">
        <v>2</v>
      </c>
      <c r="K69" s="7" t="s">
        <v>1</v>
      </c>
      <c r="L69" s="6" t="s">
        <v>0</v>
      </c>
      <c r="M69" s="21"/>
      <c r="N69" s="25"/>
      <c r="O69" s="25"/>
      <c r="P69" s="25"/>
      <c r="Q69" s="25"/>
      <c r="R69" s="25"/>
      <c r="S69" s="25"/>
      <c r="T69" s="28"/>
      <c r="U69" s="25"/>
      <c r="V69" s="29"/>
      <c r="W69" s="25"/>
      <c r="X69" s="4"/>
      <c r="Y69" s="5"/>
      <c r="Z69" s="3"/>
      <c r="AA69" s="2"/>
      <c r="AB69" s="1"/>
      <c r="AC69" s="1"/>
      <c r="AD69" s="1"/>
      <c r="AE69" s="1"/>
      <c r="AF69" s="1"/>
    </row>
    <row r="70" spans="1:32" ht="123" customHeight="1" x14ac:dyDescent="0.25">
      <c r="A70" s="6">
        <f t="shared" si="3"/>
        <v>69</v>
      </c>
      <c r="B70" s="15"/>
      <c r="C70" s="8" t="s">
        <v>5</v>
      </c>
      <c r="D70" s="7" t="s">
        <v>4</v>
      </c>
      <c r="E70" s="22">
        <v>42322</v>
      </c>
      <c r="F70" s="24">
        <v>2015</v>
      </c>
      <c r="G70" s="22" t="s">
        <v>86</v>
      </c>
      <c r="H70" s="23">
        <v>0</v>
      </c>
      <c r="I70" s="24">
        <v>3</v>
      </c>
      <c r="J70" s="7" t="s">
        <v>2</v>
      </c>
      <c r="K70" s="7" t="s">
        <v>1</v>
      </c>
      <c r="L70" s="6" t="s">
        <v>0</v>
      </c>
      <c r="M70" s="21"/>
      <c r="N70" s="25"/>
      <c r="O70" s="25"/>
      <c r="P70" s="25"/>
      <c r="Q70" s="25"/>
      <c r="R70" s="25"/>
      <c r="S70" s="25"/>
      <c r="T70" s="28"/>
      <c r="U70" s="25"/>
      <c r="V70" s="29"/>
      <c r="W70" s="25"/>
      <c r="X70" s="4"/>
      <c r="Y70" s="5"/>
      <c r="Z70" s="3"/>
      <c r="AA70" s="2"/>
      <c r="AB70" s="1"/>
      <c r="AC70" s="1"/>
      <c r="AD70" s="1"/>
      <c r="AE70" s="1"/>
      <c r="AF70" s="1"/>
    </row>
    <row r="71" spans="1:32" ht="123" customHeight="1" x14ac:dyDescent="0.25">
      <c r="A71" s="6">
        <f t="shared" si="3"/>
        <v>70</v>
      </c>
      <c r="B71" s="15"/>
      <c r="C71" s="8" t="s">
        <v>3</v>
      </c>
      <c r="D71" s="7" t="s">
        <v>10</v>
      </c>
      <c r="E71" s="22">
        <v>42336</v>
      </c>
      <c r="F71" s="24">
        <v>2015</v>
      </c>
      <c r="G71" s="22" t="s">
        <v>85</v>
      </c>
      <c r="H71" s="23">
        <v>0</v>
      </c>
      <c r="I71" s="24">
        <v>0</v>
      </c>
      <c r="J71" s="7" t="s">
        <v>2</v>
      </c>
      <c r="K71" s="7" t="s">
        <v>1</v>
      </c>
      <c r="L71" s="6" t="s">
        <v>0</v>
      </c>
      <c r="M71" s="21"/>
      <c r="N71" s="25"/>
      <c r="O71" s="25"/>
      <c r="P71" s="25"/>
      <c r="Q71" s="25"/>
      <c r="R71" s="25"/>
      <c r="S71" s="25"/>
      <c r="T71" s="28"/>
      <c r="U71" s="25"/>
      <c r="V71" s="29"/>
      <c r="W71" s="25"/>
      <c r="X71" s="4"/>
      <c r="Y71" s="5"/>
      <c r="Z71" s="3"/>
      <c r="AA71" s="2"/>
      <c r="AB71" s="1"/>
      <c r="AC71" s="1"/>
      <c r="AD71" s="1"/>
      <c r="AE71" s="1"/>
      <c r="AF71" s="1"/>
    </row>
    <row r="72" spans="1:32" ht="123" customHeight="1" x14ac:dyDescent="0.25">
      <c r="A72" s="6">
        <f t="shared" si="3"/>
        <v>71</v>
      </c>
      <c r="B72" s="15"/>
      <c r="C72" s="8" t="s">
        <v>73</v>
      </c>
      <c r="D72" s="7" t="s">
        <v>33</v>
      </c>
      <c r="E72" s="22">
        <v>42402</v>
      </c>
      <c r="F72" s="24">
        <v>2016</v>
      </c>
      <c r="G72" s="22" t="s">
        <v>20</v>
      </c>
      <c r="H72" s="23">
        <v>2</v>
      </c>
      <c r="I72" s="24">
        <v>1</v>
      </c>
      <c r="J72" s="7" t="s">
        <v>24</v>
      </c>
      <c r="K72" s="7" t="s">
        <v>36</v>
      </c>
      <c r="L72" s="6" t="s">
        <v>0</v>
      </c>
      <c r="M72" s="21"/>
      <c r="N72" s="25"/>
      <c r="O72" s="25"/>
      <c r="P72" s="25"/>
      <c r="Q72" s="25"/>
      <c r="R72" s="25"/>
      <c r="S72" s="25"/>
      <c r="T72" s="28"/>
      <c r="U72" s="25"/>
      <c r="V72" s="29"/>
      <c r="W72" s="25"/>
      <c r="X72" s="4"/>
      <c r="Y72" s="5"/>
      <c r="Z72" s="3"/>
      <c r="AA72" s="2"/>
      <c r="AB72" s="1"/>
      <c r="AC72" s="1"/>
      <c r="AD72" s="1"/>
      <c r="AE72" s="1"/>
      <c r="AF72" s="1"/>
    </row>
    <row r="73" spans="1:32" ht="123" customHeight="1" x14ac:dyDescent="0.25">
      <c r="A73" s="6">
        <f t="shared" si="3"/>
        <v>72</v>
      </c>
      <c r="B73" s="15"/>
      <c r="C73" s="8" t="s">
        <v>37</v>
      </c>
      <c r="D73" s="7" t="s">
        <v>31</v>
      </c>
      <c r="E73" s="22">
        <v>42435</v>
      </c>
      <c r="F73" s="24">
        <v>2016</v>
      </c>
      <c r="G73" s="22" t="s">
        <v>20</v>
      </c>
      <c r="H73" s="23">
        <v>1</v>
      </c>
      <c r="I73" s="24">
        <v>0</v>
      </c>
      <c r="J73" s="7" t="s">
        <v>24</v>
      </c>
      <c r="K73" s="7" t="s">
        <v>36</v>
      </c>
      <c r="L73" s="6" t="s">
        <v>0</v>
      </c>
      <c r="M73" s="21"/>
      <c r="N73" s="25"/>
      <c r="O73" s="25"/>
      <c r="P73" s="25"/>
      <c r="Q73" s="25"/>
      <c r="R73" s="25"/>
      <c r="S73" s="25"/>
      <c r="T73" s="28"/>
      <c r="U73" s="25"/>
      <c r="V73" s="29"/>
      <c r="W73" s="25"/>
      <c r="X73" s="4"/>
      <c r="Y73" s="5"/>
      <c r="Z73" s="3"/>
      <c r="AA73" s="2"/>
      <c r="AB73" s="1"/>
      <c r="AC73" s="1"/>
      <c r="AD73" s="1"/>
      <c r="AE73" s="1"/>
      <c r="AF73" s="1"/>
    </row>
    <row r="74" spans="1:32" ht="123" customHeight="1" x14ac:dyDescent="0.25">
      <c r="A74" s="6">
        <f t="shared" si="3"/>
        <v>73</v>
      </c>
      <c r="B74" s="15"/>
      <c r="C74" s="8" t="s">
        <v>26</v>
      </c>
      <c r="D74" s="7" t="s">
        <v>13</v>
      </c>
      <c r="E74" s="22">
        <v>42491</v>
      </c>
      <c r="F74" s="24">
        <v>2016</v>
      </c>
      <c r="G74" s="22" t="s">
        <v>86</v>
      </c>
      <c r="H74" s="23">
        <v>0</v>
      </c>
      <c r="I74" s="24">
        <v>1</v>
      </c>
      <c r="J74" s="7" t="s">
        <v>24</v>
      </c>
      <c r="K74" s="7" t="s">
        <v>23</v>
      </c>
      <c r="L74" s="6" t="s">
        <v>0</v>
      </c>
      <c r="M74" s="21"/>
      <c r="N74" s="25"/>
      <c r="O74" s="25"/>
      <c r="P74" s="25"/>
      <c r="Q74" s="25"/>
      <c r="R74" s="25"/>
      <c r="S74" s="25"/>
      <c r="T74" s="28"/>
      <c r="U74" s="25"/>
      <c r="V74" s="29"/>
      <c r="W74" s="25"/>
      <c r="X74" s="4"/>
      <c r="Y74" s="5"/>
      <c r="Z74" s="3"/>
      <c r="AA74" s="2"/>
      <c r="AB74" s="1"/>
      <c r="AC74" s="1"/>
      <c r="AD74" s="1"/>
      <c r="AE74" s="1"/>
      <c r="AF74" s="1"/>
    </row>
    <row r="75" spans="1:32" ht="123" customHeight="1" x14ac:dyDescent="0.25">
      <c r="A75" s="6">
        <f t="shared" si="3"/>
        <v>74</v>
      </c>
      <c r="B75" s="15"/>
      <c r="C75" s="8" t="s">
        <v>26</v>
      </c>
      <c r="D75" s="7" t="s">
        <v>74</v>
      </c>
      <c r="E75" s="22">
        <v>42498</v>
      </c>
      <c r="F75" s="24">
        <v>2016</v>
      </c>
      <c r="G75" s="22" t="s">
        <v>85</v>
      </c>
      <c r="H75" s="23">
        <v>1</v>
      </c>
      <c r="I75" s="24">
        <v>1</v>
      </c>
      <c r="J75" s="7" t="s">
        <v>24</v>
      </c>
      <c r="K75" s="7" t="s">
        <v>23</v>
      </c>
      <c r="L75" s="6" t="s">
        <v>0</v>
      </c>
      <c r="M75" s="21"/>
      <c r="N75" s="25"/>
      <c r="O75" s="25"/>
      <c r="P75" s="25"/>
      <c r="Q75" s="25"/>
      <c r="R75" s="25"/>
      <c r="S75" s="25"/>
      <c r="T75" s="28"/>
      <c r="U75" s="25"/>
      <c r="V75" s="29"/>
      <c r="W75" s="25"/>
      <c r="X75" s="4"/>
      <c r="Y75" s="5"/>
      <c r="Z75" s="3"/>
      <c r="AA75" s="2"/>
      <c r="AB75" s="1"/>
      <c r="AC75" s="1"/>
      <c r="AD75" s="1"/>
      <c r="AE75" s="1"/>
      <c r="AF75" s="1"/>
    </row>
    <row r="76" spans="1:32" ht="123" customHeight="1" x14ac:dyDescent="0.25">
      <c r="A76" s="6">
        <f t="shared" si="3"/>
        <v>75</v>
      </c>
      <c r="B76" s="15"/>
      <c r="C76" s="8" t="s">
        <v>80</v>
      </c>
      <c r="D76" s="7" t="s">
        <v>76</v>
      </c>
      <c r="E76" s="22">
        <v>42505</v>
      </c>
      <c r="F76" s="24">
        <v>2016</v>
      </c>
      <c r="G76" s="22" t="s">
        <v>86</v>
      </c>
      <c r="H76" s="23">
        <v>0</v>
      </c>
      <c r="I76" s="24">
        <v>1</v>
      </c>
      <c r="J76" s="7" t="s">
        <v>38</v>
      </c>
      <c r="K76" s="30" t="s">
        <v>78</v>
      </c>
      <c r="L76" s="6" t="s">
        <v>0</v>
      </c>
      <c r="M76" s="21"/>
      <c r="N76" s="25"/>
      <c r="O76" s="25"/>
      <c r="P76" s="25"/>
      <c r="Q76" s="25"/>
      <c r="R76" s="25"/>
      <c r="S76" s="25"/>
      <c r="T76" s="28"/>
      <c r="U76" s="25"/>
      <c r="V76" s="29"/>
      <c r="W76" s="25"/>
      <c r="X76" s="4"/>
      <c r="Y76" s="5"/>
      <c r="Z76" s="3"/>
      <c r="AA76" s="2"/>
      <c r="AB76" s="1"/>
      <c r="AC76" s="1"/>
      <c r="AD76" s="1"/>
      <c r="AE76" s="1"/>
      <c r="AF76" s="1"/>
    </row>
    <row r="77" spans="1:32" ht="123" customHeight="1" x14ac:dyDescent="0.25">
      <c r="A77" s="6">
        <f t="shared" si="3"/>
        <v>76</v>
      </c>
      <c r="B77" s="15"/>
      <c r="C77" s="8" t="s">
        <v>5</v>
      </c>
      <c r="D77" s="7" t="s">
        <v>33</v>
      </c>
      <c r="E77" s="22">
        <v>42554</v>
      </c>
      <c r="F77" s="24">
        <v>2016</v>
      </c>
      <c r="G77" s="22" t="s">
        <v>20</v>
      </c>
      <c r="H77" s="23">
        <v>2</v>
      </c>
      <c r="I77" s="24">
        <v>1</v>
      </c>
      <c r="J77" s="7" t="s">
        <v>38</v>
      </c>
      <c r="K77" s="7" t="s">
        <v>79</v>
      </c>
      <c r="L77" s="6" t="s">
        <v>0</v>
      </c>
      <c r="M77" s="21"/>
      <c r="N77" s="25"/>
      <c r="O77" s="25"/>
      <c r="P77" s="25"/>
      <c r="Q77" s="25"/>
      <c r="R77" s="25"/>
      <c r="S77" s="25"/>
      <c r="T77" s="28"/>
      <c r="U77" s="25"/>
      <c r="V77" s="29"/>
      <c r="W77" s="25"/>
      <c r="X77" s="4"/>
      <c r="Y77" s="5"/>
      <c r="Z77" s="3"/>
      <c r="AA77" s="2"/>
      <c r="AB77" s="1"/>
      <c r="AC77" s="1"/>
      <c r="AD77" s="1"/>
      <c r="AE77" s="1"/>
      <c r="AF77" s="1"/>
    </row>
    <row r="78" spans="1:32" ht="123" customHeight="1" x14ac:dyDescent="0.25">
      <c r="A78" s="6">
        <f t="shared" si="3"/>
        <v>77</v>
      </c>
      <c r="B78" s="15"/>
      <c r="C78" s="8" t="s">
        <v>39</v>
      </c>
      <c r="D78" s="7" t="s">
        <v>29</v>
      </c>
      <c r="E78" s="22">
        <v>42582</v>
      </c>
      <c r="F78" s="24">
        <v>2016</v>
      </c>
      <c r="G78" s="22" t="s">
        <v>20</v>
      </c>
      <c r="H78" s="23">
        <v>3</v>
      </c>
      <c r="I78" s="24">
        <v>1</v>
      </c>
      <c r="J78" s="7" t="s">
        <v>38</v>
      </c>
      <c r="K78" s="7" t="s">
        <v>94</v>
      </c>
      <c r="L78" s="6" t="s">
        <v>0</v>
      </c>
      <c r="M78" s="21"/>
      <c r="N78" s="25"/>
      <c r="O78" s="25"/>
      <c r="P78" s="25"/>
      <c r="Q78" s="25"/>
      <c r="R78" s="25"/>
      <c r="S78" s="25"/>
      <c r="T78" s="28"/>
      <c r="U78" s="25"/>
      <c r="V78" s="29"/>
      <c r="W78" s="25"/>
      <c r="X78" s="4"/>
      <c r="Y78" s="5"/>
      <c r="Z78" s="3"/>
      <c r="AA78" s="2"/>
      <c r="AB78" s="1"/>
      <c r="AC78" s="1"/>
      <c r="AD78" s="1"/>
      <c r="AE78" s="1"/>
      <c r="AF78" s="1"/>
    </row>
    <row r="79" spans="1:32" ht="123" customHeight="1" x14ac:dyDescent="0.25">
      <c r="A79" s="6">
        <f t="shared" si="3"/>
        <v>78</v>
      </c>
      <c r="B79" s="15"/>
      <c r="C79" s="8" t="s">
        <v>46</v>
      </c>
      <c r="D79" s="7" t="s">
        <v>33</v>
      </c>
      <c r="E79" s="22">
        <v>42617</v>
      </c>
      <c r="F79" s="7">
        <v>2016</v>
      </c>
      <c r="G79" s="7" t="s">
        <v>20</v>
      </c>
      <c r="H79" s="7">
        <v>2</v>
      </c>
      <c r="I79" s="24">
        <v>1</v>
      </c>
      <c r="J79" s="7" t="s">
        <v>38</v>
      </c>
      <c r="K79" s="7" t="s">
        <v>94</v>
      </c>
      <c r="L79" s="6" t="s">
        <v>0</v>
      </c>
      <c r="M79" s="21"/>
      <c r="N79" s="25"/>
      <c r="O79" s="25"/>
      <c r="P79" s="25"/>
      <c r="Q79" s="25"/>
      <c r="R79" s="25"/>
      <c r="S79" s="25"/>
      <c r="T79" s="28"/>
      <c r="U79" s="25"/>
      <c r="V79" s="29"/>
      <c r="W79" s="25"/>
      <c r="X79" s="4"/>
      <c r="Y79" s="5"/>
      <c r="Z79" s="3"/>
      <c r="AA79" s="2"/>
      <c r="AB79" s="1"/>
      <c r="AC79" s="1"/>
      <c r="AD79" s="1"/>
      <c r="AE79" s="1"/>
      <c r="AF79" s="1"/>
    </row>
    <row r="80" spans="1:32" ht="123" customHeight="1" x14ac:dyDescent="0.25">
      <c r="A80" s="6">
        <f t="shared" si="3"/>
        <v>79</v>
      </c>
      <c r="B80" s="15"/>
      <c r="C80" s="8" t="s">
        <v>30</v>
      </c>
      <c r="D80" s="7" t="s">
        <v>31</v>
      </c>
      <c r="E80" s="22">
        <v>42620</v>
      </c>
      <c r="F80" s="7">
        <v>2016</v>
      </c>
      <c r="G80" s="7" t="s">
        <v>20</v>
      </c>
      <c r="H80" s="7">
        <v>1</v>
      </c>
      <c r="I80" s="24">
        <v>0</v>
      </c>
      <c r="J80" s="7" t="s">
        <v>38</v>
      </c>
      <c r="K80" s="7" t="s">
        <v>94</v>
      </c>
      <c r="L80" s="6" t="s">
        <v>0</v>
      </c>
      <c r="M80" s="21"/>
      <c r="N80" s="25"/>
      <c r="O80" s="25"/>
      <c r="P80" s="25"/>
      <c r="Q80" s="25"/>
      <c r="R80" s="25"/>
      <c r="S80" s="25"/>
      <c r="T80" s="28"/>
      <c r="U80" s="25"/>
      <c r="V80" s="29"/>
      <c r="W80" s="25"/>
      <c r="X80" s="4"/>
      <c r="Y80" s="5"/>
      <c r="Z80" s="3"/>
      <c r="AA80" s="2"/>
      <c r="AB80" s="1"/>
      <c r="AC80" s="1"/>
      <c r="AD80" s="1"/>
      <c r="AE80" s="1"/>
      <c r="AF80" s="1"/>
    </row>
    <row r="81" spans="1:32" ht="123" customHeight="1" x14ac:dyDescent="0.25">
      <c r="A81" s="6">
        <f t="shared" si="3"/>
        <v>80</v>
      </c>
      <c r="B81" s="15"/>
      <c r="C81" s="8" t="s">
        <v>55</v>
      </c>
      <c r="D81" s="7" t="s">
        <v>31</v>
      </c>
      <c r="E81" s="22">
        <v>42655</v>
      </c>
      <c r="F81" s="24">
        <v>2016</v>
      </c>
      <c r="G81" s="7" t="s">
        <v>20</v>
      </c>
      <c r="H81" s="7">
        <v>1</v>
      </c>
      <c r="I81" s="24">
        <v>0</v>
      </c>
      <c r="J81" s="7" t="s">
        <v>38</v>
      </c>
      <c r="K81" s="7" t="s">
        <v>94</v>
      </c>
      <c r="L81" s="6" t="s">
        <v>0</v>
      </c>
      <c r="M81" s="21"/>
      <c r="N81" s="25"/>
      <c r="O81" s="25"/>
      <c r="P81" s="25"/>
      <c r="Q81" s="25"/>
      <c r="R81" s="25"/>
      <c r="S81" s="25"/>
      <c r="T81" s="28"/>
      <c r="U81" s="25"/>
      <c r="V81" s="29"/>
      <c r="W81" s="25"/>
      <c r="X81" s="4"/>
      <c r="Y81" s="5"/>
      <c r="Z81" s="3"/>
      <c r="AA81" s="2"/>
      <c r="AB81" s="1"/>
      <c r="AC81" s="1"/>
      <c r="AD81" s="1"/>
      <c r="AE81" s="1"/>
      <c r="AF81" s="1"/>
    </row>
    <row r="82" spans="1:32" ht="123" customHeight="1" x14ac:dyDescent="0.25">
      <c r="A82" s="6">
        <f t="shared" si="3"/>
        <v>81</v>
      </c>
      <c r="B82" s="15"/>
      <c r="C82" s="8" t="s">
        <v>53</v>
      </c>
      <c r="D82" s="7" t="s">
        <v>95</v>
      </c>
      <c r="E82" s="22">
        <v>42659</v>
      </c>
      <c r="F82" s="24">
        <v>2016</v>
      </c>
      <c r="G82" s="7" t="s">
        <v>20</v>
      </c>
      <c r="H82" s="7">
        <v>3</v>
      </c>
      <c r="I82" s="24">
        <v>2</v>
      </c>
      <c r="J82" s="7" t="s">
        <v>38</v>
      </c>
      <c r="K82" s="7" t="s">
        <v>94</v>
      </c>
      <c r="L82" s="6" t="s">
        <v>0</v>
      </c>
      <c r="M82" s="21"/>
      <c r="N82" s="25"/>
      <c r="O82" s="25"/>
      <c r="P82" s="25"/>
      <c r="Q82" s="25"/>
      <c r="R82" s="25"/>
      <c r="S82" s="25"/>
      <c r="T82" s="28"/>
      <c r="U82" s="25"/>
      <c r="V82" s="29"/>
      <c r="W82" s="25"/>
      <c r="X82" s="4"/>
      <c r="Y82" s="5"/>
      <c r="Z82" s="3"/>
      <c r="AA82" s="2"/>
      <c r="AB82" s="1"/>
      <c r="AC82" s="1"/>
      <c r="AD82" s="1"/>
      <c r="AE82" s="1"/>
      <c r="AF82" s="1"/>
    </row>
    <row r="83" spans="1:32" ht="123" customHeight="1" x14ac:dyDescent="0.25">
      <c r="A83" s="6">
        <f t="shared" si="3"/>
        <v>82</v>
      </c>
      <c r="B83" s="15"/>
      <c r="C83" s="8" t="s">
        <v>65</v>
      </c>
      <c r="D83" s="7" t="s">
        <v>10</v>
      </c>
      <c r="E83" s="22">
        <v>42672</v>
      </c>
      <c r="F83" s="24">
        <v>2016</v>
      </c>
      <c r="G83" s="7" t="s">
        <v>85</v>
      </c>
      <c r="H83" s="7">
        <v>0</v>
      </c>
      <c r="I83" s="24">
        <v>0</v>
      </c>
      <c r="J83" s="7" t="s">
        <v>38</v>
      </c>
      <c r="K83" s="7" t="s">
        <v>94</v>
      </c>
      <c r="L83" s="6" t="s">
        <v>49</v>
      </c>
      <c r="M83" s="21"/>
      <c r="N83" s="25"/>
      <c r="O83" s="25"/>
      <c r="P83" s="25"/>
      <c r="Q83" s="25"/>
      <c r="R83" s="25"/>
      <c r="S83" s="25"/>
      <c r="T83" s="28"/>
      <c r="U83" s="25"/>
      <c r="V83" s="29"/>
      <c r="W83" s="25"/>
      <c r="X83" s="4"/>
      <c r="Y83" s="5"/>
      <c r="Z83" s="3"/>
      <c r="AA83" s="2"/>
      <c r="AB83" s="1"/>
      <c r="AC83" s="1"/>
      <c r="AD83" s="1"/>
      <c r="AE83" s="1"/>
      <c r="AF83" s="1"/>
    </row>
    <row r="84" spans="1:32" ht="123" customHeight="1" x14ac:dyDescent="0.25">
      <c r="A84" s="6">
        <f t="shared" si="3"/>
        <v>83</v>
      </c>
      <c r="B84" s="15"/>
      <c r="C84" s="8" t="s">
        <v>42</v>
      </c>
      <c r="D84" s="7" t="s">
        <v>50</v>
      </c>
      <c r="E84" s="22">
        <v>42690</v>
      </c>
      <c r="F84" s="24">
        <v>2016</v>
      </c>
      <c r="G84" s="7" t="s">
        <v>86</v>
      </c>
      <c r="H84" s="7">
        <v>0</v>
      </c>
      <c r="I84" s="24">
        <v>2</v>
      </c>
      <c r="J84" s="7" t="s">
        <v>38</v>
      </c>
      <c r="K84" s="7" t="s">
        <v>94</v>
      </c>
      <c r="L84" s="6" t="s">
        <v>49</v>
      </c>
      <c r="M84" s="21"/>
      <c r="N84" s="25"/>
      <c r="O84" s="25"/>
      <c r="P84" s="25"/>
      <c r="Q84" s="25"/>
      <c r="R84" s="25"/>
      <c r="S84" s="25"/>
      <c r="T84" s="28"/>
      <c r="U84" s="25"/>
      <c r="V84" s="29"/>
      <c r="W84" s="25"/>
      <c r="X84" s="4"/>
      <c r="Y84" s="5"/>
      <c r="Z84" s="3"/>
      <c r="AA84" s="2"/>
      <c r="AB84" s="1"/>
      <c r="AC84" s="1"/>
      <c r="AD84" s="1"/>
      <c r="AE84" s="1"/>
      <c r="AF84" s="1"/>
    </row>
    <row r="85" spans="1:32" ht="123" customHeight="1" x14ac:dyDescent="0.25">
      <c r="A85" s="6">
        <f t="shared" si="3"/>
        <v>84</v>
      </c>
      <c r="B85" s="15"/>
      <c r="C85" s="8" t="s">
        <v>96</v>
      </c>
      <c r="D85" s="7" t="s">
        <v>74</v>
      </c>
      <c r="E85" s="22">
        <v>42700</v>
      </c>
      <c r="F85" s="24">
        <v>2016</v>
      </c>
      <c r="G85" s="7" t="s">
        <v>85</v>
      </c>
      <c r="H85" s="7">
        <v>1</v>
      </c>
      <c r="I85" s="24">
        <v>1</v>
      </c>
      <c r="J85" s="7" t="s">
        <v>38</v>
      </c>
      <c r="K85" s="7" t="s">
        <v>94</v>
      </c>
      <c r="L85" s="6" t="s">
        <v>49</v>
      </c>
      <c r="M85" s="21"/>
      <c r="N85" s="25"/>
      <c r="O85" s="25"/>
      <c r="P85" s="25"/>
      <c r="Q85" s="25"/>
      <c r="R85" s="25"/>
      <c r="S85" s="25"/>
      <c r="T85" s="28"/>
      <c r="U85" s="25"/>
      <c r="V85" s="29"/>
      <c r="W85" s="25"/>
      <c r="X85" s="4"/>
      <c r="Y85" s="5"/>
      <c r="Z85" s="3"/>
      <c r="AA85" s="2"/>
      <c r="AB85" s="1"/>
      <c r="AC85" s="1"/>
      <c r="AD85" s="1"/>
      <c r="AE85" s="1"/>
      <c r="AF85" s="1"/>
    </row>
    <row r="86" spans="1:32" ht="123" customHeight="1" x14ac:dyDescent="0.25">
      <c r="A86" s="6">
        <f t="shared" si="3"/>
        <v>85</v>
      </c>
      <c r="B86" s="15"/>
      <c r="C86" s="33" t="s">
        <v>34</v>
      </c>
      <c r="D86" s="34" t="s">
        <v>15</v>
      </c>
      <c r="E86" s="35">
        <v>42763</v>
      </c>
      <c r="F86" s="36">
        <v>2017</v>
      </c>
      <c r="G86" s="7" t="s">
        <v>85</v>
      </c>
      <c r="H86" s="7">
        <v>1</v>
      </c>
      <c r="I86" s="24">
        <v>1</v>
      </c>
      <c r="J86" s="7" t="s">
        <v>24</v>
      </c>
      <c r="K86" s="7" t="s">
        <v>1</v>
      </c>
      <c r="L86" s="6" t="s">
        <v>0</v>
      </c>
      <c r="M86" s="21"/>
      <c r="N86" s="25"/>
      <c r="O86" s="25"/>
      <c r="P86" s="25"/>
      <c r="Q86" s="25"/>
      <c r="R86" s="25"/>
      <c r="S86" s="25"/>
      <c r="T86" s="28"/>
      <c r="U86" s="25"/>
      <c r="V86" s="29"/>
      <c r="W86" s="25"/>
      <c r="X86" s="4"/>
      <c r="Y86" s="5"/>
      <c r="Z86" s="3"/>
      <c r="AA86" s="2"/>
      <c r="AB86" s="1"/>
      <c r="AC86" s="1"/>
      <c r="AD86" s="1"/>
      <c r="AE86" s="1"/>
      <c r="AF86" s="1"/>
    </row>
    <row r="87" spans="1:32" ht="123" customHeight="1" x14ac:dyDescent="0.25">
      <c r="A87" s="6">
        <f t="shared" si="3"/>
        <v>86</v>
      </c>
      <c r="B87" s="15"/>
      <c r="C87" s="8" t="s">
        <v>100</v>
      </c>
      <c r="D87" s="7" t="s">
        <v>33</v>
      </c>
      <c r="E87" s="22">
        <v>42767</v>
      </c>
      <c r="F87" s="24">
        <v>2017</v>
      </c>
      <c r="G87" s="7" t="s">
        <v>20</v>
      </c>
      <c r="H87" s="7">
        <v>2</v>
      </c>
      <c r="I87" s="24">
        <v>1</v>
      </c>
      <c r="J87" s="7" t="s">
        <v>43</v>
      </c>
      <c r="K87" s="7" t="s">
        <v>1</v>
      </c>
      <c r="L87" s="6" t="s">
        <v>0</v>
      </c>
      <c r="M87" s="21"/>
      <c r="N87" s="25"/>
      <c r="O87" s="25"/>
      <c r="P87" s="25"/>
      <c r="Q87" s="25"/>
      <c r="R87" s="25"/>
      <c r="S87" s="25"/>
      <c r="T87" s="28"/>
      <c r="U87" s="25"/>
      <c r="V87" s="29"/>
      <c r="W87" s="25"/>
      <c r="X87" s="4"/>
      <c r="Y87" s="5"/>
      <c r="Z87" s="3"/>
      <c r="AA87" s="2"/>
      <c r="AB87" s="1"/>
      <c r="AC87" s="1"/>
      <c r="AD87" s="1"/>
      <c r="AE87" s="1"/>
      <c r="AF87" s="1"/>
    </row>
    <row r="88" spans="1:32" ht="123" customHeight="1" x14ac:dyDescent="0.25">
      <c r="A88" s="41">
        <f t="shared" si="3"/>
        <v>87</v>
      </c>
      <c r="B88" s="15"/>
      <c r="C88" s="8" t="s">
        <v>101</v>
      </c>
      <c r="D88" s="7" t="s">
        <v>33</v>
      </c>
      <c r="E88" s="22">
        <v>42770</v>
      </c>
      <c r="F88" s="7">
        <v>2017</v>
      </c>
      <c r="G88" s="7" t="s">
        <v>20</v>
      </c>
      <c r="H88" s="7">
        <v>2</v>
      </c>
      <c r="I88" s="7">
        <v>1</v>
      </c>
      <c r="J88" s="7" t="s">
        <v>24</v>
      </c>
      <c r="K88" s="7" t="s">
        <v>1</v>
      </c>
      <c r="L88" s="6" t="s">
        <v>0</v>
      </c>
      <c r="M88" s="21"/>
      <c r="N88" s="25"/>
      <c r="O88" s="25"/>
      <c r="P88" s="25"/>
      <c r="Q88" s="25"/>
      <c r="R88" s="25"/>
      <c r="S88" s="25"/>
      <c r="T88" s="28"/>
      <c r="U88" s="25"/>
      <c r="V88" s="29"/>
      <c r="W88" s="25"/>
      <c r="X88" s="4"/>
      <c r="Y88" s="5"/>
      <c r="Z88" s="3"/>
      <c r="AA88" s="2"/>
      <c r="AB88" s="1"/>
      <c r="AC88" s="1"/>
      <c r="AD88" s="1"/>
      <c r="AE88" s="1"/>
      <c r="AF88" s="1"/>
    </row>
    <row r="89" spans="1:32" ht="123" customHeight="1" x14ac:dyDescent="0.25">
      <c r="A89" s="6">
        <f t="shared" si="3"/>
        <v>88</v>
      </c>
      <c r="B89" s="15"/>
      <c r="C89" s="42" t="s">
        <v>102</v>
      </c>
      <c r="D89" s="43" t="s">
        <v>31</v>
      </c>
      <c r="E89" s="44">
        <v>42781</v>
      </c>
      <c r="F89" s="43">
        <v>2017</v>
      </c>
      <c r="G89" s="43" t="s">
        <v>20</v>
      </c>
      <c r="H89" s="43">
        <v>1</v>
      </c>
      <c r="I89" s="43">
        <v>0</v>
      </c>
      <c r="J89" s="43" t="s">
        <v>43</v>
      </c>
      <c r="K89" s="43" t="s">
        <v>1</v>
      </c>
      <c r="L89" s="41" t="s">
        <v>0</v>
      </c>
      <c r="M89" s="21"/>
      <c r="N89" s="25"/>
      <c r="O89" s="25"/>
      <c r="P89" s="25"/>
      <c r="Q89" s="25"/>
      <c r="R89" s="25"/>
      <c r="S89" s="25"/>
      <c r="T89" s="28"/>
      <c r="U89" s="25"/>
      <c r="V89" s="29"/>
      <c r="W89" s="25"/>
      <c r="X89" s="4"/>
      <c r="Y89" s="5"/>
      <c r="Z89" s="3"/>
      <c r="AA89" s="2"/>
      <c r="AB89" s="1"/>
      <c r="AC89" s="1"/>
      <c r="AD89" s="1"/>
      <c r="AE89" s="1"/>
      <c r="AF89" s="1"/>
    </row>
    <row r="90" spans="1:32" ht="123" customHeight="1" x14ac:dyDescent="0.25">
      <c r="A90" s="6">
        <f t="shared" si="3"/>
        <v>89</v>
      </c>
      <c r="B90" s="15"/>
      <c r="C90" s="8" t="s">
        <v>52</v>
      </c>
      <c r="D90" s="7" t="s">
        <v>31</v>
      </c>
      <c r="E90" s="22">
        <v>42803</v>
      </c>
      <c r="F90" s="24">
        <v>2017</v>
      </c>
      <c r="G90" s="7" t="s">
        <v>20</v>
      </c>
      <c r="H90" s="7">
        <v>1</v>
      </c>
      <c r="I90" s="24">
        <v>0</v>
      </c>
      <c r="J90" s="7" t="s">
        <v>24</v>
      </c>
      <c r="K90" s="7" t="s">
        <v>1</v>
      </c>
      <c r="L90" s="6" t="s">
        <v>49</v>
      </c>
      <c r="M90" s="21"/>
      <c r="N90" s="25"/>
      <c r="O90" s="25"/>
      <c r="P90" s="25"/>
      <c r="Q90" s="25"/>
      <c r="R90" s="25"/>
      <c r="S90" s="25"/>
      <c r="T90" s="28"/>
      <c r="U90" s="25"/>
      <c r="V90" s="29"/>
      <c r="W90" s="25"/>
      <c r="X90" s="4"/>
      <c r="Y90" s="5"/>
      <c r="Z90" s="3"/>
      <c r="AA90" s="2"/>
      <c r="AB90" s="1"/>
      <c r="AC90" s="1"/>
      <c r="AD90" s="1"/>
      <c r="AE90" s="1"/>
      <c r="AF90" s="1"/>
    </row>
    <row r="91" spans="1:32" ht="123" customHeight="1" x14ac:dyDescent="0.25">
      <c r="A91" s="6">
        <f t="shared" si="3"/>
        <v>90</v>
      </c>
      <c r="B91" s="15"/>
      <c r="C91" s="8" t="s">
        <v>26</v>
      </c>
      <c r="D91" s="7" t="s">
        <v>10</v>
      </c>
      <c r="E91" s="22">
        <v>42813</v>
      </c>
      <c r="F91" s="24">
        <v>2017</v>
      </c>
      <c r="G91" s="7" t="s">
        <v>85</v>
      </c>
      <c r="H91" s="7">
        <v>0</v>
      </c>
      <c r="I91" s="24">
        <v>0</v>
      </c>
      <c r="J91" s="7" t="s">
        <v>24</v>
      </c>
      <c r="K91" s="7" t="s">
        <v>1</v>
      </c>
      <c r="L91" s="6" t="s">
        <v>0</v>
      </c>
      <c r="M91" s="21"/>
      <c r="N91" s="25"/>
      <c r="O91" s="25"/>
      <c r="P91" s="25"/>
      <c r="Q91" s="25"/>
      <c r="R91" s="25"/>
      <c r="S91" s="25"/>
      <c r="T91" s="28"/>
      <c r="U91" s="25"/>
      <c r="V91" s="29"/>
      <c r="W91" s="25"/>
      <c r="X91" s="4"/>
      <c r="Y91" s="5"/>
      <c r="Z91" s="3"/>
      <c r="AA91" s="2"/>
      <c r="AB91" s="1"/>
      <c r="AC91" s="1"/>
      <c r="AD91" s="1"/>
      <c r="AE91" s="1"/>
      <c r="AF91" s="1"/>
    </row>
    <row r="92" spans="1:32" ht="123" customHeight="1" x14ac:dyDescent="0.25">
      <c r="A92" s="6">
        <f t="shared" si="3"/>
        <v>91</v>
      </c>
      <c r="B92" s="15"/>
      <c r="C92" s="8" t="s">
        <v>30</v>
      </c>
      <c r="D92" s="7" t="s">
        <v>8</v>
      </c>
      <c r="E92" s="22">
        <v>42817</v>
      </c>
      <c r="F92" s="24">
        <v>2017</v>
      </c>
      <c r="G92" s="7" t="s">
        <v>86</v>
      </c>
      <c r="H92" s="7">
        <v>2</v>
      </c>
      <c r="I92" s="24">
        <v>3</v>
      </c>
      <c r="J92" s="7" t="s">
        <v>24</v>
      </c>
      <c r="K92" s="7" t="s">
        <v>1</v>
      </c>
      <c r="L92" s="6" t="s">
        <v>49</v>
      </c>
      <c r="M92" s="21"/>
      <c r="N92" s="25"/>
      <c r="O92" s="25"/>
      <c r="P92" s="25"/>
      <c r="Q92" s="25"/>
      <c r="R92" s="25"/>
      <c r="S92" s="25"/>
      <c r="T92" s="28"/>
      <c r="U92" s="25"/>
      <c r="V92" s="29"/>
      <c r="W92" s="25"/>
      <c r="X92" s="4"/>
      <c r="Y92" s="5"/>
      <c r="Z92" s="3"/>
      <c r="AA92" s="2"/>
      <c r="AB92" s="1"/>
      <c r="AC92" s="1"/>
      <c r="AD92" s="1"/>
      <c r="AE92" s="1"/>
      <c r="AF92" s="1"/>
    </row>
    <row r="93" spans="1:32" ht="123" customHeight="1" x14ac:dyDescent="0.25">
      <c r="A93" s="6">
        <f t="shared" si="3"/>
        <v>92</v>
      </c>
      <c r="B93" s="15"/>
      <c r="C93" s="8" t="s">
        <v>30</v>
      </c>
      <c r="D93" s="7" t="s">
        <v>29</v>
      </c>
      <c r="E93" s="22">
        <v>42834</v>
      </c>
      <c r="F93" s="24">
        <v>2017</v>
      </c>
      <c r="G93" s="7" t="s">
        <v>20</v>
      </c>
      <c r="H93" s="7">
        <v>3</v>
      </c>
      <c r="I93" s="24">
        <v>1</v>
      </c>
      <c r="J93" s="7" t="s">
        <v>24</v>
      </c>
      <c r="K93" s="7" t="s">
        <v>1</v>
      </c>
      <c r="L93" s="6" t="s">
        <v>49</v>
      </c>
      <c r="M93" s="21"/>
      <c r="N93" s="25"/>
      <c r="O93" s="25"/>
      <c r="P93" s="25"/>
      <c r="Q93" s="25"/>
      <c r="R93" s="25"/>
      <c r="S93" s="25"/>
      <c r="T93" s="28"/>
      <c r="U93" s="25"/>
      <c r="V93" s="29"/>
      <c r="W93" s="25"/>
      <c r="X93" s="4"/>
      <c r="Y93" s="5"/>
      <c r="Z93" s="3"/>
      <c r="AA93" s="2"/>
      <c r="AB93" s="1"/>
      <c r="AC93" s="1"/>
      <c r="AD93" s="1"/>
      <c r="AE93" s="1"/>
      <c r="AF93" s="1"/>
    </row>
    <row r="94" spans="1:32" ht="123" customHeight="1" x14ac:dyDescent="0.25">
      <c r="A94" s="6">
        <f t="shared" si="3"/>
        <v>93</v>
      </c>
      <c r="B94" s="15"/>
      <c r="C94" s="8" t="s">
        <v>26</v>
      </c>
      <c r="D94" s="7" t="s">
        <v>50</v>
      </c>
      <c r="E94" s="22">
        <v>42841</v>
      </c>
      <c r="F94" s="24">
        <v>2017</v>
      </c>
      <c r="G94" s="7" t="s">
        <v>86</v>
      </c>
      <c r="H94" s="7">
        <v>0</v>
      </c>
      <c r="I94" s="24">
        <v>2</v>
      </c>
      <c r="J94" s="7" t="s">
        <v>24</v>
      </c>
      <c r="K94" s="7" t="s">
        <v>1</v>
      </c>
      <c r="L94" s="6" t="s">
        <v>49</v>
      </c>
      <c r="M94" s="21"/>
      <c r="N94" s="25"/>
      <c r="O94" s="25"/>
      <c r="P94" s="25"/>
      <c r="Q94" s="25"/>
      <c r="R94" s="25"/>
      <c r="S94" s="25"/>
      <c r="T94" s="28"/>
      <c r="U94" s="25"/>
      <c r="V94" s="29"/>
      <c r="W94" s="25"/>
      <c r="X94" s="4"/>
      <c r="Y94" s="5"/>
      <c r="Z94" s="3"/>
      <c r="AA94" s="2"/>
      <c r="AB94" s="1"/>
      <c r="AC94" s="1"/>
      <c r="AD94" s="1"/>
      <c r="AE94" s="1"/>
      <c r="AF94" s="1"/>
    </row>
    <row r="95" spans="1:32" ht="123" customHeight="1" x14ac:dyDescent="0.25">
      <c r="A95" s="6">
        <f t="shared" si="3"/>
        <v>94</v>
      </c>
      <c r="B95" s="15"/>
      <c r="C95" s="8" t="s">
        <v>105</v>
      </c>
      <c r="D95" s="7" t="s">
        <v>106</v>
      </c>
      <c r="E95" s="22">
        <v>42851</v>
      </c>
      <c r="F95" s="24">
        <v>2017</v>
      </c>
      <c r="G95" s="7" t="s">
        <v>20</v>
      </c>
      <c r="H95" s="7">
        <v>2</v>
      </c>
      <c r="I95" s="24">
        <v>1</v>
      </c>
      <c r="J95" s="7" t="s">
        <v>12</v>
      </c>
      <c r="K95" s="7" t="s">
        <v>1</v>
      </c>
      <c r="L95" s="6" t="s">
        <v>49</v>
      </c>
      <c r="M95" s="21"/>
      <c r="N95" s="25"/>
      <c r="O95" s="25"/>
      <c r="P95" s="25"/>
      <c r="Q95" s="25"/>
      <c r="R95" s="25"/>
      <c r="S95" s="25"/>
      <c r="T95" s="28"/>
      <c r="U95" s="25"/>
      <c r="V95" s="29"/>
      <c r="W95" s="25"/>
      <c r="X95" s="4"/>
      <c r="Y95" s="5"/>
      <c r="Z95" s="3"/>
      <c r="AA95" s="2"/>
      <c r="AB95" s="1"/>
      <c r="AC95" s="1"/>
      <c r="AD95" s="1"/>
      <c r="AE95" s="1"/>
      <c r="AF95" s="1"/>
    </row>
    <row r="96" spans="1:32" ht="123" customHeight="1" x14ac:dyDescent="0.25">
      <c r="A96" s="6">
        <f t="shared" si="3"/>
        <v>95</v>
      </c>
      <c r="B96" s="15"/>
      <c r="C96" s="8" t="s">
        <v>107</v>
      </c>
      <c r="D96" s="7" t="s">
        <v>50</v>
      </c>
      <c r="E96" s="22">
        <v>42857</v>
      </c>
      <c r="F96" s="24">
        <v>2017</v>
      </c>
      <c r="G96" s="7" t="s">
        <v>86</v>
      </c>
      <c r="H96" s="7">
        <v>0</v>
      </c>
      <c r="I96" s="24">
        <v>2</v>
      </c>
      <c r="J96" s="7" t="s">
        <v>43</v>
      </c>
      <c r="K96" s="7" t="s">
        <v>1</v>
      </c>
      <c r="L96" s="6" t="s">
        <v>0</v>
      </c>
      <c r="M96" s="21"/>
      <c r="N96" s="25"/>
      <c r="O96" s="25"/>
      <c r="P96" s="25"/>
      <c r="Q96" s="25"/>
      <c r="R96" s="25"/>
      <c r="S96" s="25"/>
      <c r="T96" s="28"/>
      <c r="U96" s="25"/>
      <c r="V96" s="29"/>
      <c r="W96" s="25"/>
      <c r="X96" s="4"/>
      <c r="Y96" s="5"/>
      <c r="Z96" s="3"/>
      <c r="AA96" s="2"/>
      <c r="AB96" s="1"/>
      <c r="AC96" s="1"/>
      <c r="AD96" s="1"/>
      <c r="AE96" s="1"/>
      <c r="AF96" s="1"/>
    </row>
    <row r="97" spans="1:32" ht="123" customHeight="1" x14ac:dyDescent="0.25">
      <c r="A97" s="6">
        <f t="shared" si="3"/>
        <v>96</v>
      </c>
      <c r="B97" s="15"/>
      <c r="C97" s="8" t="s">
        <v>108</v>
      </c>
      <c r="D97" s="7" t="s">
        <v>109</v>
      </c>
      <c r="E97" s="22">
        <v>42873</v>
      </c>
      <c r="F97" s="24">
        <v>2017</v>
      </c>
      <c r="G97" s="7" t="s">
        <v>20</v>
      </c>
      <c r="H97" s="7">
        <v>1</v>
      </c>
      <c r="I97" s="24">
        <v>0</v>
      </c>
      <c r="J97" s="7" t="s">
        <v>43</v>
      </c>
      <c r="K97" s="7" t="s">
        <v>1</v>
      </c>
      <c r="L97" s="6" t="s">
        <v>0</v>
      </c>
      <c r="M97" s="21"/>
      <c r="N97" s="25"/>
      <c r="O97" s="25"/>
      <c r="P97" s="25"/>
      <c r="Q97" s="25"/>
      <c r="R97" s="25"/>
      <c r="S97" s="25"/>
      <c r="T97" s="28"/>
      <c r="U97" s="25"/>
      <c r="V97" s="25"/>
      <c r="W97" s="25"/>
      <c r="X97" s="2"/>
      <c r="Y97" s="2"/>
      <c r="Z97" s="2"/>
      <c r="AA97" s="2"/>
      <c r="AB97" s="1"/>
      <c r="AC97" s="1"/>
      <c r="AD97" s="1"/>
      <c r="AE97" s="1"/>
      <c r="AF97" s="1"/>
    </row>
    <row r="98" spans="1:32" ht="123" customHeight="1" x14ac:dyDescent="0.25">
      <c r="A98" s="6">
        <f t="shared" si="3"/>
        <v>97</v>
      </c>
      <c r="B98" s="15"/>
      <c r="C98" s="8" t="s">
        <v>96</v>
      </c>
      <c r="D98" s="7" t="s">
        <v>19</v>
      </c>
      <c r="E98" s="22">
        <v>42876</v>
      </c>
      <c r="F98" s="24">
        <v>2017</v>
      </c>
      <c r="G98" s="7" t="s">
        <v>20</v>
      </c>
      <c r="H98" s="7">
        <v>2</v>
      </c>
      <c r="I98" s="24">
        <v>0</v>
      </c>
      <c r="J98" s="7" t="s">
        <v>38</v>
      </c>
      <c r="K98" s="7" t="s">
        <v>1</v>
      </c>
      <c r="L98" s="6" t="s">
        <v>49</v>
      </c>
      <c r="M98" s="21"/>
      <c r="N98" s="25"/>
      <c r="O98" s="25"/>
      <c r="P98" s="25"/>
      <c r="Q98" s="25"/>
      <c r="R98" s="25"/>
      <c r="S98" s="25"/>
      <c r="T98" s="28"/>
      <c r="U98" s="25"/>
      <c r="V98" s="25"/>
      <c r="W98" s="25"/>
      <c r="X98" s="2"/>
      <c r="Y98" s="2"/>
      <c r="Z98" s="2"/>
      <c r="AA98" s="2"/>
      <c r="AB98" s="1"/>
      <c r="AC98" s="1"/>
      <c r="AD98" s="1"/>
      <c r="AE98" s="1"/>
      <c r="AF98" s="1"/>
    </row>
    <row r="99" spans="1:32" ht="123" customHeight="1" x14ac:dyDescent="0.25">
      <c r="A99" s="41">
        <f t="shared" si="3"/>
        <v>98</v>
      </c>
      <c r="B99" s="15"/>
      <c r="C99" s="8" t="s">
        <v>40</v>
      </c>
      <c r="D99" s="7" t="s">
        <v>109</v>
      </c>
      <c r="E99" s="22">
        <v>42883</v>
      </c>
      <c r="F99" s="24">
        <v>2017</v>
      </c>
      <c r="G99" s="7" t="s">
        <v>20</v>
      </c>
      <c r="H99" s="7">
        <v>1</v>
      </c>
      <c r="I99" s="24">
        <v>0</v>
      </c>
      <c r="J99" s="7" t="s">
        <v>38</v>
      </c>
      <c r="K99" s="7" t="s">
        <v>1</v>
      </c>
      <c r="L99" s="6" t="s">
        <v>49</v>
      </c>
      <c r="M99" s="21"/>
      <c r="N99" s="25"/>
      <c r="O99" s="25"/>
      <c r="P99" s="25"/>
      <c r="Q99" s="25"/>
      <c r="R99" s="25"/>
      <c r="S99" s="25"/>
      <c r="T99" s="28"/>
      <c r="U99" s="25"/>
      <c r="V99" s="25"/>
      <c r="W99" s="25"/>
      <c r="X99" s="2"/>
      <c r="Y99" s="2"/>
      <c r="Z99" s="2"/>
      <c r="AA99" s="2"/>
      <c r="AB99" s="1"/>
      <c r="AC99" s="1"/>
      <c r="AD99" s="1"/>
      <c r="AE99" s="1"/>
      <c r="AF99" s="1"/>
    </row>
    <row r="100" spans="1:32" ht="123" customHeight="1" x14ac:dyDescent="0.25">
      <c r="A100" s="6">
        <f t="shared" si="3"/>
        <v>99</v>
      </c>
      <c r="B100" s="15"/>
      <c r="C100" s="42" t="s">
        <v>65</v>
      </c>
      <c r="D100" s="43" t="s">
        <v>47</v>
      </c>
      <c r="E100" s="44">
        <v>42897</v>
      </c>
      <c r="F100" s="45">
        <v>2017</v>
      </c>
      <c r="G100" s="43" t="s">
        <v>85</v>
      </c>
      <c r="H100" s="43">
        <v>2</v>
      </c>
      <c r="I100" s="45">
        <v>2</v>
      </c>
      <c r="J100" s="43" t="s">
        <v>38</v>
      </c>
      <c r="K100" s="43" t="s">
        <v>1</v>
      </c>
      <c r="L100" s="41" t="s">
        <v>49</v>
      </c>
      <c r="M100" s="21"/>
      <c r="N100" s="25"/>
      <c r="O100" s="25"/>
      <c r="P100" s="25"/>
      <c r="Q100" s="25"/>
      <c r="R100" s="25"/>
      <c r="S100" s="25"/>
      <c r="T100" s="28"/>
      <c r="U100" s="25"/>
      <c r="V100" s="25"/>
      <c r="W100" s="25"/>
      <c r="X100" s="2"/>
      <c r="Y100" s="2"/>
      <c r="Z100" s="2"/>
      <c r="AA100" s="2"/>
      <c r="AB100" s="1"/>
      <c r="AC100" s="1"/>
      <c r="AD100" s="1"/>
      <c r="AE100" s="1"/>
      <c r="AF100" s="1"/>
    </row>
    <row r="101" spans="1:32" ht="123" customHeight="1" x14ac:dyDescent="0.25">
      <c r="A101" s="6">
        <f t="shared" si="3"/>
        <v>100</v>
      </c>
      <c r="B101" s="15"/>
      <c r="C101" s="8" t="s">
        <v>26</v>
      </c>
      <c r="D101" s="7" t="s">
        <v>29</v>
      </c>
      <c r="E101" s="22">
        <v>42907</v>
      </c>
      <c r="F101" s="24">
        <v>2017</v>
      </c>
      <c r="G101" s="7" t="s">
        <v>20</v>
      </c>
      <c r="H101" s="7">
        <v>3</v>
      </c>
      <c r="I101" s="24">
        <v>1</v>
      </c>
      <c r="J101" s="7" t="s">
        <v>38</v>
      </c>
      <c r="K101" s="7" t="s">
        <v>1</v>
      </c>
      <c r="L101" s="6" t="s">
        <v>0</v>
      </c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1"/>
      <c r="Y101" s="1"/>
      <c r="Z101" s="1"/>
      <c r="AA101" s="1"/>
    </row>
    <row r="102" spans="1:32" ht="123" customHeight="1" x14ac:dyDescent="0.25">
      <c r="A102" s="41">
        <f t="shared" si="3"/>
        <v>101</v>
      </c>
      <c r="B102" s="15"/>
      <c r="C102" s="8" t="s">
        <v>110</v>
      </c>
      <c r="D102" s="7" t="s">
        <v>50</v>
      </c>
      <c r="E102" s="22">
        <v>42912</v>
      </c>
      <c r="F102" s="24">
        <v>2017</v>
      </c>
      <c r="G102" s="7" t="s">
        <v>86</v>
      </c>
      <c r="H102" s="7">
        <v>0</v>
      </c>
      <c r="I102" s="24">
        <v>2</v>
      </c>
      <c r="J102" s="7" t="s">
        <v>38</v>
      </c>
      <c r="K102" s="7" t="s">
        <v>1</v>
      </c>
      <c r="L102" s="6" t="s">
        <v>0</v>
      </c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1"/>
      <c r="Y102" s="1"/>
      <c r="Z102" s="1"/>
      <c r="AA102" s="1"/>
    </row>
    <row r="103" spans="1:32" ht="123" customHeight="1" x14ac:dyDescent="0.25">
      <c r="A103" s="41">
        <f t="shared" si="3"/>
        <v>102</v>
      </c>
      <c r="B103" s="15"/>
      <c r="C103" s="33" t="s">
        <v>53</v>
      </c>
      <c r="D103" s="34" t="s">
        <v>15</v>
      </c>
      <c r="E103" s="35">
        <v>42925</v>
      </c>
      <c r="F103" s="36">
        <v>2017</v>
      </c>
      <c r="G103" s="34" t="s">
        <v>85</v>
      </c>
      <c r="H103" s="34">
        <v>1</v>
      </c>
      <c r="I103" s="36">
        <v>1</v>
      </c>
      <c r="J103" s="34" t="s">
        <v>38</v>
      </c>
      <c r="K103" s="34" t="s">
        <v>1</v>
      </c>
      <c r="L103" s="39" t="s">
        <v>49</v>
      </c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1"/>
      <c r="Y103" s="1"/>
      <c r="Z103" s="1"/>
      <c r="AA103" s="1"/>
    </row>
    <row r="104" spans="1:32" ht="123" customHeight="1" x14ac:dyDescent="0.25">
      <c r="A104" s="6">
        <f t="shared" si="3"/>
        <v>103</v>
      </c>
      <c r="B104" s="15"/>
      <c r="C104" s="42" t="s">
        <v>30</v>
      </c>
      <c r="D104" s="43" t="s">
        <v>31</v>
      </c>
      <c r="E104" s="44">
        <v>42928</v>
      </c>
      <c r="F104" s="45">
        <v>2017</v>
      </c>
      <c r="G104" s="43" t="s">
        <v>20</v>
      </c>
      <c r="H104" s="43">
        <v>1</v>
      </c>
      <c r="I104" s="45">
        <v>0</v>
      </c>
      <c r="J104" s="43" t="s">
        <v>38</v>
      </c>
      <c r="K104" s="43" t="s">
        <v>23</v>
      </c>
      <c r="L104" s="41" t="s">
        <v>0</v>
      </c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1"/>
      <c r="Y104" s="1"/>
      <c r="Z104" s="1"/>
      <c r="AA104" s="1"/>
    </row>
    <row r="105" spans="1:32" ht="123" customHeight="1" x14ac:dyDescent="0.25">
      <c r="A105" s="41">
        <f t="shared" si="3"/>
        <v>104</v>
      </c>
      <c r="B105" s="15"/>
      <c r="C105" s="8" t="s">
        <v>105</v>
      </c>
      <c r="D105" s="7" t="s">
        <v>33</v>
      </c>
      <c r="E105" s="22">
        <v>42933</v>
      </c>
      <c r="F105" s="24">
        <v>2017</v>
      </c>
      <c r="G105" s="7" t="s">
        <v>20</v>
      </c>
      <c r="H105" s="7">
        <v>2</v>
      </c>
      <c r="I105" s="24">
        <v>1</v>
      </c>
      <c r="J105" s="7" t="s">
        <v>38</v>
      </c>
      <c r="K105" s="7" t="s">
        <v>1</v>
      </c>
      <c r="L105" s="6" t="s">
        <v>0</v>
      </c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1"/>
      <c r="Y105" s="1"/>
      <c r="Z105" s="1"/>
      <c r="AA105" s="1"/>
    </row>
    <row r="106" spans="1:32" ht="123" customHeight="1" x14ac:dyDescent="0.25">
      <c r="A106" s="6">
        <f t="shared" si="3"/>
        <v>105</v>
      </c>
      <c r="B106" s="15"/>
      <c r="C106" s="42" t="s">
        <v>53</v>
      </c>
      <c r="D106" s="43" t="s">
        <v>17</v>
      </c>
      <c r="E106" s="44">
        <v>42942</v>
      </c>
      <c r="F106" s="45">
        <v>2017</v>
      </c>
      <c r="G106" s="43" t="s">
        <v>20</v>
      </c>
      <c r="H106" s="43">
        <v>3</v>
      </c>
      <c r="I106" s="45">
        <v>0</v>
      </c>
      <c r="J106" s="43" t="s">
        <v>38</v>
      </c>
      <c r="K106" s="43" t="s">
        <v>1</v>
      </c>
      <c r="L106" s="41" t="s">
        <v>49</v>
      </c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1"/>
      <c r="Y106" s="1"/>
      <c r="Z106" s="1"/>
      <c r="AA106" s="1"/>
    </row>
    <row r="107" spans="1:32" ht="123" customHeight="1" x14ac:dyDescent="0.25">
      <c r="A107" s="41">
        <f t="shared" si="3"/>
        <v>106</v>
      </c>
      <c r="B107" s="15"/>
      <c r="C107" s="8" t="s">
        <v>80</v>
      </c>
      <c r="D107" s="7" t="s">
        <v>111</v>
      </c>
      <c r="E107" s="22">
        <v>42945</v>
      </c>
      <c r="F107" s="24">
        <v>2017</v>
      </c>
      <c r="G107" s="7" t="s">
        <v>86</v>
      </c>
      <c r="H107" s="7">
        <v>3</v>
      </c>
      <c r="I107" s="24">
        <v>4</v>
      </c>
      <c r="J107" s="7" t="s">
        <v>38</v>
      </c>
      <c r="K107" s="7" t="s">
        <v>1</v>
      </c>
      <c r="L107" s="6" t="s">
        <v>0</v>
      </c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1"/>
      <c r="Y107" s="1"/>
      <c r="Z107" s="1"/>
      <c r="AA107" s="1"/>
    </row>
    <row r="108" spans="1:32" ht="123" customHeight="1" x14ac:dyDescent="0.25">
      <c r="A108" s="6">
        <f t="shared" si="3"/>
        <v>107</v>
      </c>
      <c r="B108" s="15"/>
      <c r="C108" s="42" t="s">
        <v>39</v>
      </c>
      <c r="D108" s="43" t="s">
        <v>25</v>
      </c>
      <c r="E108" s="44">
        <v>42949</v>
      </c>
      <c r="F108" s="45">
        <v>2017</v>
      </c>
      <c r="G108" s="43" t="s">
        <v>86</v>
      </c>
      <c r="H108" s="43">
        <v>1</v>
      </c>
      <c r="I108" s="45">
        <v>2</v>
      </c>
      <c r="J108" s="43" t="s">
        <v>38</v>
      </c>
      <c r="K108" s="43" t="s">
        <v>1</v>
      </c>
      <c r="L108" s="6" t="s">
        <v>0</v>
      </c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1"/>
      <c r="Y108" s="1"/>
      <c r="Z108" s="1"/>
      <c r="AA108" s="1"/>
    </row>
    <row r="109" spans="1:32" ht="123" customHeight="1" x14ac:dyDescent="0.25">
      <c r="A109" s="6">
        <f t="shared" ref="A109:A148" si="4">SUM(A108+1)</f>
        <v>108</v>
      </c>
      <c r="B109" s="15"/>
      <c r="C109" s="8" t="s">
        <v>112</v>
      </c>
      <c r="D109" s="7" t="s">
        <v>19</v>
      </c>
      <c r="E109" s="22">
        <v>42957</v>
      </c>
      <c r="F109" s="24">
        <v>2017</v>
      </c>
      <c r="G109" s="7" t="s">
        <v>20</v>
      </c>
      <c r="H109" s="7">
        <v>2</v>
      </c>
      <c r="I109" s="24">
        <v>0</v>
      </c>
      <c r="J109" s="7" t="s">
        <v>43</v>
      </c>
      <c r="K109" s="7" t="s">
        <v>1</v>
      </c>
      <c r="L109" s="6" t="s">
        <v>0</v>
      </c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1"/>
      <c r="Y109" s="1"/>
      <c r="Z109" s="1"/>
      <c r="AA109" s="1"/>
    </row>
    <row r="110" spans="1:32" ht="123" customHeight="1" x14ac:dyDescent="0.25">
      <c r="A110" s="6">
        <f t="shared" si="4"/>
        <v>109</v>
      </c>
      <c r="B110" s="15"/>
      <c r="C110" s="8" t="s">
        <v>46</v>
      </c>
      <c r="D110" s="7" t="s">
        <v>31</v>
      </c>
      <c r="E110" s="22">
        <v>42960</v>
      </c>
      <c r="F110" s="24">
        <v>2017</v>
      </c>
      <c r="G110" s="7" t="s">
        <v>20</v>
      </c>
      <c r="H110" s="7">
        <v>1</v>
      </c>
      <c r="I110" s="24">
        <v>0</v>
      </c>
      <c r="J110" s="7" t="s">
        <v>38</v>
      </c>
      <c r="K110" s="7" t="s">
        <v>1</v>
      </c>
      <c r="L110" s="6" t="s">
        <v>0</v>
      </c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1"/>
      <c r="Y110" s="1"/>
      <c r="Z110" s="1"/>
      <c r="AA110" s="1"/>
    </row>
    <row r="111" spans="1:32" ht="123" customHeight="1" x14ac:dyDescent="0.25">
      <c r="A111" s="41">
        <f t="shared" si="4"/>
        <v>110</v>
      </c>
      <c r="B111" s="15"/>
      <c r="C111" s="8" t="s">
        <v>32</v>
      </c>
      <c r="D111" s="7" t="s">
        <v>10</v>
      </c>
      <c r="E111" s="22">
        <v>42963</v>
      </c>
      <c r="F111" s="24">
        <v>2017</v>
      </c>
      <c r="G111" s="7" t="s">
        <v>85</v>
      </c>
      <c r="H111" s="7">
        <v>0</v>
      </c>
      <c r="I111" s="24">
        <v>0</v>
      </c>
      <c r="J111" s="7" t="s">
        <v>12</v>
      </c>
      <c r="K111" s="7" t="s">
        <v>1</v>
      </c>
      <c r="L111" s="6" t="s">
        <v>0</v>
      </c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1"/>
      <c r="Y111" s="1"/>
      <c r="Z111" s="1"/>
      <c r="AA111" s="1"/>
    </row>
    <row r="112" spans="1:32" ht="123" customHeight="1" x14ac:dyDescent="0.25">
      <c r="A112" s="6">
        <f t="shared" si="4"/>
        <v>111</v>
      </c>
      <c r="B112" s="15"/>
      <c r="C112" s="42" t="s">
        <v>32</v>
      </c>
      <c r="D112" s="43" t="s">
        <v>13</v>
      </c>
      <c r="E112" s="44">
        <v>42970</v>
      </c>
      <c r="F112" s="45">
        <v>2017</v>
      </c>
      <c r="G112" s="43" t="s">
        <v>86</v>
      </c>
      <c r="H112" s="43">
        <v>0</v>
      </c>
      <c r="I112" s="45">
        <v>1</v>
      </c>
      <c r="J112" s="43" t="s">
        <v>12</v>
      </c>
      <c r="K112" s="43" t="s">
        <v>23</v>
      </c>
      <c r="L112" s="41" t="s">
        <v>0</v>
      </c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1"/>
      <c r="Y112" s="1"/>
      <c r="Z112" s="1"/>
      <c r="AA112" s="1"/>
    </row>
    <row r="113" spans="1:27" ht="123" customHeight="1" x14ac:dyDescent="0.25">
      <c r="A113" s="6">
        <f t="shared" si="4"/>
        <v>112</v>
      </c>
      <c r="B113" s="15"/>
      <c r="C113" s="8" t="s">
        <v>32</v>
      </c>
      <c r="D113" s="7" t="s">
        <v>19</v>
      </c>
      <c r="E113" s="22">
        <v>42988</v>
      </c>
      <c r="F113" s="24">
        <v>2017</v>
      </c>
      <c r="G113" s="7" t="s">
        <v>20</v>
      </c>
      <c r="H113" s="7">
        <v>2</v>
      </c>
      <c r="I113" s="24">
        <v>0</v>
      </c>
      <c r="J113" s="7" t="s">
        <v>38</v>
      </c>
      <c r="K113" s="7" t="s">
        <v>1</v>
      </c>
      <c r="L113" s="6" t="s">
        <v>0</v>
      </c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1"/>
      <c r="Y113" s="1"/>
      <c r="Z113" s="1"/>
      <c r="AA113" s="1"/>
    </row>
    <row r="114" spans="1:27" ht="123" customHeight="1" x14ac:dyDescent="0.25">
      <c r="A114" s="6">
        <f t="shared" si="4"/>
        <v>113</v>
      </c>
      <c r="B114" s="15"/>
      <c r="C114" s="8" t="s">
        <v>46</v>
      </c>
      <c r="D114" s="7" t="s">
        <v>10</v>
      </c>
      <c r="E114" s="22">
        <v>42991</v>
      </c>
      <c r="F114" s="24">
        <v>2017</v>
      </c>
      <c r="G114" s="7" t="s">
        <v>85</v>
      </c>
      <c r="H114" s="7">
        <v>0</v>
      </c>
      <c r="I114" s="24">
        <v>0</v>
      </c>
      <c r="J114" s="7" t="s">
        <v>38</v>
      </c>
      <c r="K114" s="7" t="s">
        <v>1</v>
      </c>
      <c r="L114" s="6" t="s">
        <v>0</v>
      </c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1"/>
      <c r="Y114" s="1"/>
      <c r="Z114" s="1"/>
      <c r="AA114" s="1"/>
    </row>
    <row r="115" spans="1:27" ht="123" customHeight="1" x14ac:dyDescent="0.25">
      <c r="A115" s="6">
        <f t="shared" si="4"/>
        <v>114</v>
      </c>
      <c r="B115" s="15"/>
      <c r="C115" s="8" t="s">
        <v>41</v>
      </c>
      <c r="D115" s="7" t="s">
        <v>19</v>
      </c>
      <c r="E115" s="22">
        <v>42994</v>
      </c>
      <c r="F115" s="24">
        <v>2017</v>
      </c>
      <c r="G115" s="7" t="s">
        <v>20</v>
      </c>
      <c r="H115" s="7">
        <v>2</v>
      </c>
      <c r="I115" s="24">
        <v>0</v>
      </c>
      <c r="J115" s="7" t="s">
        <v>38</v>
      </c>
      <c r="K115" s="7" t="s">
        <v>1</v>
      </c>
      <c r="L115" s="6" t="s">
        <v>0</v>
      </c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1"/>
      <c r="Y115" s="1"/>
      <c r="Z115" s="1"/>
      <c r="AA115" s="1"/>
    </row>
    <row r="116" spans="1:27" ht="123" customHeight="1" x14ac:dyDescent="0.25">
      <c r="A116" s="6">
        <f t="shared" si="4"/>
        <v>115</v>
      </c>
      <c r="B116" s="15"/>
      <c r="C116" s="8" t="s">
        <v>20</v>
      </c>
      <c r="D116" s="7" t="s">
        <v>8</v>
      </c>
      <c r="E116" s="22">
        <v>43009</v>
      </c>
      <c r="F116" s="7">
        <v>2017</v>
      </c>
      <c r="G116" s="7" t="s">
        <v>86</v>
      </c>
      <c r="H116" s="7">
        <v>2</v>
      </c>
      <c r="I116" s="7">
        <v>3</v>
      </c>
      <c r="J116" s="7" t="s">
        <v>38</v>
      </c>
      <c r="K116" s="7" t="s">
        <v>1</v>
      </c>
      <c r="L116" s="6" t="s">
        <v>0</v>
      </c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1"/>
      <c r="Y116" s="1"/>
      <c r="Z116" s="1"/>
      <c r="AA116" s="1"/>
    </row>
    <row r="117" spans="1:27" ht="123" customHeight="1" x14ac:dyDescent="0.25">
      <c r="A117" s="6">
        <f t="shared" si="4"/>
        <v>116</v>
      </c>
      <c r="B117" s="15"/>
      <c r="C117" s="8" t="s">
        <v>42</v>
      </c>
      <c r="D117" s="7" t="s">
        <v>106</v>
      </c>
      <c r="E117" s="22">
        <v>43019</v>
      </c>
      <c r="F117" s="7">
        <v>2017</v>
      </c>
      <c r="G117" s="7" t="s">
        <v>20</v>
      </c>
      <c r="H117" s="7">
        <v>2</v>
      </c>
      <c r="I117" s="7">
        <v>1</v>
      </c>
      <c r="J117" s="7" t="s">
        <v>38</v>
      </c>
      <c r="K117" s="7" t="s">
        <v>1</v>
      </c>
      <c r="L117" s="6" t="s">
        <v>0</v>
      </c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1"/>
      <c r="Y117" s="1"/>
      <c r="Z117" s="1"/>
      <c r="AA117" s="1"/>
    </row>
    <row r="118" spans="1:27" ht="123" customHeight="1" x14ac:dyDescent="0.25">
      <c r="A118" s="6">
        <f t="shared" si="4"/>
        <v>117</v>
      </c>
      <c r="B118" s="15"/>
      <c r="C118" s="8" t="s">
        <v>26</v>
      </c>
      <c r="D118" s="7" t="s">
        <v>13</v>
      </c>
      <c r="E118" s="22">
        <v>43022</v>
      </c>
      <c r="F118" s="7">
        <v>2017</v>
      </c>
      <c r="G118" s="7" t="s">
        <v>86</v>
      </c>
      <c r="H118" s="7">
        <v>0</v>
      </c>
      <c r="I118" s="7">
        <v>1</v>
      </c>
      <c r="J118" s="7" t="s">
        <v>38</v>
      </c>
      <c r="K118" s="7" t="s">
        <v>23</v>
      </c>
      <c r="L118" s="6" t="s">
        <v>0</v>
      </c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1"/>
      <c r="Y118" s="1"/>
      <c r="Z118" s="1"/>
      <c r="AA118" s="1"/>
    </row>
    <row r="119" spans="1:27" ht="123" customHeight="1" x14ac:dyDescent="0.25">
      <c r="A119" s="6">
        <f t="shared" si="4"/>
        <v>118</v>
      </c>
      <c r="B119" s="15"/>
      <c r="C119" s="8" t="s">
        <v>63</v>
      </c>
      <c r="D119" s="7" t="s">
        <v>33</v>
      </c>
      <c r="E119" s="22">
        <v>43031</v>
      </c>
      <c r="F119" s="7">
        <v>2017</v>
      </c>
      <c r="G119" s="7" t="s">
        <v>20</v>
      </c>
      <c r="H119" s="7">
        <v>2</v>
      </c>
      <c r="I119" s="7">
        <v>1</v>
      </c>
      <c r="J119" s="7" t="s">
        <v>38</v>
      </c>
      <c r="K119" s="7" t="s">
        <v>1</v>
      </c>
      <c r="L119" s="6" t="s">
        <v>0</v>
      </c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1"/>
      <c r="Y119" s="1"/>
      <c r="Z119" s="1"/>
      <c r="AA119" s="1"/>
    </row>
    <row r="120" spans="1:27" ht="123" customHeight="1" x14ac:dyDescent="0.25">
      <c r="A120" s="6">
        <f t="shared" si="4"/>
        <v>119</v>
      </c>
      <c r="B120" s="15"/>
      <c r="C120" s="8" t="s">
        <v>30</v>
      </c>
      <c r="D120" s="7" t="s">
        <v>25</v>
      </c>
      <c r="E120" s="22">
        <v>43043</v>
      </c>
      <c r="F120" s="7">
        <v>2017</v>
      </c>
      <c r="G120" s="7" t="s">
        <v>86</v>
      </c>
      <c r="H120" s="7">
        <v>1</v>
      </c>
      <c r="I120" s="7">
        <v>2</v>
      </c>
      <c r="J120" s="7" t="s">
        <v>38</v>
      </c>
      <c r="K120" s="7" t="s">
        <v>1</v>
      </c>
      <c r="L120" s="6" t="s">
        <v>0</v>
      </c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1"/>
      <c r="Y120" s="1"/>
      <c r="Z120" s="1"/>
      <c r="AA120" s="1"/>
    </row>
    <row r="121" spans="1:27" ht="123" customHeight="1" x14ac:dyDescent="0.25">
      <c r="A121" s="6">
        <f t="shared" si="4"/>
        <v>120</v>
      </c>
      <c r="B121" s="15"/>
      <c r="C121" s="8" t="s">
        <v>60</v>
      </c>
      <c r="D121" s="7" t="s">
        <v>13</v>
      </c>
      <c r="E121" s="22">
        <v>43050</v>
      </c>
      <c r="F121" s="7">
        <v>2017</v>
      </c>
      <c r="G121" s="7" t="s">
        <v>86</v>
      </c>
      <c r="H121" s="7">
        <v>0</v>
      </c>
      <c r="I121" s="7">
        <v>1</v>
      </c>
      <c r="J121" s="7" t="s">
        <v>38</v>
      </c>
      <c r="K121" s="7" t="s">
        <v>1</v>
      </c>
      <c r="L121" s="6" t="s">
        <v>0</v>
      </c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1"/>
      <c r="Y121" s="1"/>
      <c r="Z121" s="1"/>
      <c r="AA121" s="1"/>
    </row>
    <row r="122" spans="1:27" ht="123" customHeight="1" x14ac:dyDescent="0.25">
      <c r="A122" s="6">
        <f t="shared" si="4"/>
        <v>121</v>
      </c>
      <c r="B122" s="15"/>
      <c r="C122" s="8" t="s">
        <v>113</v>
      </c>
      <c r="D122" s="7" t="s">
        <v>25</v>
      </c>
      <c r="E122" s="22">
        <v>43055</v>
      </c>
      <c r="F122" s="7">
        <v>2017</v>
      </c>
      <c r="G122" s="7" t="s">
        <v>86</v>
      </c>
      <c r="H122" s="7">
        <v>1</v>
      </c>
      <c r="I122" s="7">
        <v>2</v>
      </c>
      <c r="J122" s="7" t="s">
        <v>38</v>
      </c>
      <c r="K122" s="7" t="s">
        <v>1</v>
      </c>
      <c r="L122" s="6" t="s">
        <v>0</v>
      </c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1"/>
      <c r="Y122" s="1"/>
      <c r="Z122" s="1"/>
      <c r="AA122" s="1"/>
    </row>
    <row r="123" spans="1:27" ht="123" customHeight="1" x14ac:dyDescent="0.25">
      <c r="A123" s="6">
        <f t="shared" si="4"/>
        <v>122</v>
      </c>
      <c r="B123" s="15"/>
      <c r="C123" s="8" t="s">
        <v>114</v>
      </c>
      <c r="D123" s="7" t="s">
        <v>47</v>
      </c>
      <c r="E123" s="22">
        <v>43072</v>
      </c>
      <c r="F123" s="7">
        <v>2017</v>
      </c>
      <c r="G123" s="7" t="s">
        <v>85</v>
      </c>
      <c r="H123" s="7">
        <v>2</v>
      </c>
      <c r="I123" s="7">
        <v>2</v>
      </c>
      <c r="J123" s="7" t="s">
        <v>38</v>
      </c>
      <c r="K123" s="7" t="s">
        <v>1</v>
      </c>
      <c r="L123" s="6" t="s">
        <v>0</v>
      </c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1"/>
      <c r="Y123" s="1"/>
      <c r="Z123" s="1"/>
      <c r="AA123" s="1"/>
    </row>
    <row r="124" spans="1:27" ht="123" customHeight="1" x14ac:dyDescent="0.25">
      <c r="A124" s="6">
        <f t="shared" si="4"/>
        <v>123</v>
      </c>
      <c r="B124" s="15"/>
      <c r="C124" s="8" t="s">
        <v>73</v>
      </c>
      <c r="D124" s="7" t="s">
        <v>47</v>
      </c>
      <c r="E124" s="22">
        <v>43116</v>
      </c>
      <c r="F124" s="7">
        <v>2018</v>
      </c>
      <c r="G124" s="7" t="s">
        <v>85</v>
      </c>
      <c r="H124" s="7">
        <v>2</v>
      </c>
      <c r="I124" s="7">
        <v>2</v>
      </c>
      <c r="J124" s="7" t="s">
        <v>24</v>
      </c>
      <c r="K124" s="7" t="s">
        <v>1</v>
      </c>
      <c r="L124" s="6" t="s">
        <v>0</v>
      </c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1"/>
      <c r="Y124" s="1"/>
      <c r="Z124" s="1"/>
      <c r="AA124" s="1"/>
    </row>
    <row r="125" spans="1:27" ht="123" customHeight="1" x14ac:dyDescent="0.25">
      <c r="A125" s="6">
        <f t="shared" si="4"/>
        <v>124</v>
      </c>
      <c r="B125" s="15"/>
      <c r="C125" s="8" t="s">
        <v>30</v>
      </c>
      <c r="D125" s="7" t="s">
        <v>10</v>
      </c>
      <c r="E125" s="22">
        <v>43120</v>
      </c>
      <c r="F125" s="7">
        <v>2018</v>
      </c>
      <c r="G125" s="7" t="s">
        <v>85</v>
      </c>
      <c r="H125" s="7">
        <v>0</v>
      </c>
      <c r="I125" s="7">
        <v>0</v>
      </c>
      <c r="J125" s="7" t="s">
        <v>24</v>
      </c>
      <c r="K125" s="7" t="s">
        <v>23</v>
      </c>
      <c r="L125" s="6" t="s">
        <v>0</v>
      </c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1"/>
      <c r="Y125" s="1"/>
      <c r="Z125" s="1"/>
      <c r="AA125" s="1"/>
    </row>
    <row r="126" spans="1:27" ht="123" customHeight="1" x14ac:dyDescent="0.25">
      <c r="A126" s="6">
        <f t="shared" si="4"/>
        <v>125</v>
      </c>
      <c r="B126" s="15"/>
      <c r="C126" s="8" t="s">
        <v>37</v>
      </c>
      <c r="D126" s="7" t="s">
        <v>31</v>
      </c>
      <c r="E126" s="22">
        <v>43128</v>
      </c>
      <c r="F126" s="7">
        <v>2018</v>
      </c>
      <c r="G126" s="7" t="s">
        <v>20</v>
      </c>
      <c r="H126" s="7">
        <v>1</v>
      </c>
      <c r="I126" s="7">
        <v>0</v>
      </c>
      <c r="J126" s="7" t="s">
        <v>24</v>
      </c>
      <c r="K126" s="7" t="s">
        <v>1</v>
      </c>
      <c r="L126" s="6" t="s">
        <v>0</v>
      </c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1"/>
      <c r="Y126" s="1"/>
      <c r="Z126" s="1"/>
      <c r="AA126" s="1"/>
    </row>
    <row r="127" spans="1:27" ht="123" customHeight="1" x14ac:dyDescent="0.25">
      <c r="A127" s="6">
        <f t="shared" si="4"/>
        <v>126</v>
      </c>
      <c r="B127" s="15"/>
      <c r="C127" s="8" t="s">
        <v>27</v>
      </c>
      <c r="D127" s="7" t="s">
        <v>10</v>
      </c>
      <c r="E127" s="22">
        <v>43134</v>
      </c>
      <c r="F127" s="7">
        <v>2018</v>
      </c>
      <c r="G127" s="7" t="s">
        <v>85</v>
      </c>
      <c r="H127" s="7">
        <v>0</v>
      </c>
      <c r="I127" s="7">
        <v>0</v>
      </c>
      <c r="J127" s="7" t="s">
        <v>24</v>
      </c>
      <c r="K127" s="7" t="s">
        <v>1</v>
      </c>
      <c r="L127" s="6" t="s">
        <v>0</v>
      </c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1"/>
      <c r="Y127" s="1"/>
      <c r="Z127" s="1"/>
      <c r="AA127" s="1"/>
    </row>
    <row r="128" spans="1:27" ht="123" customHeight="1" x14ac:dyDescent="0.25">
      <c r="A128" s="41">
        <f t="shared" si="4"/>
        <v>127</v>
      </c>
      <c r="B128" s="15"/>
      <c r="C128" s="42" t="s">
        <v>115</v>
      </c>
      <c r="D128" s="43" t="s">
        <v>31</v>
      </c>
      <c r="E128" s="44">
        <v>43165</v>
      </c>
      <c r="F128" s="43">
        <v>2018</v>
      </c>
      <c r="G128" s="43" t="s">
        <v>20</v>
      </c>
      <c r="H128" s="43">
        <v>1</v>
      </c>
      <c r="I128" s="43">
        <v>0</v>
      </c>
      <c r="J128" s="43" t="s">
        <v>24</v>
      </c>
      <c r="K128" s="43" t="s">
        <v>1</v>
      </c>
      <c r="L128" s="41" t="s">
        <v>0</v>
      </c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1"/>
      <c r="Y128" s="1"/>
      <c r="Z128" s="1"/>
      <c r="AA128" s="1"/>
    </row>
    <row r="129" spans="1:27" ht="123" customHeight="1" x14ac:dyDescent="0.25">
      <c r="A129" s="6">
        <f t="shared" si="4"/>
        <v>128</v>
      </c>
      <c r="B129" s="15"/>
      <c r="C129" s="8" t="s">
        <v>26</v>
      </c>
      <c r="D129" s="7" t="s">
        <v>8</v>
      </c>
      <c r="E129" s="22">
        <v>43177</v>
      </c>
      <c r="F129" s="7">
        <v>2018</v>
      </c>
      <c r="G129" s="7" t="s">
        <v>86</v>
      </c>
      <c r="H129" s="7">
        <v>2</v>
      </c>
      <c r="I129" s="7">
        <v>3</v>
      </c>
      <c r="J129" s="7" t="s">
        <v>24</v>
      </c>
      <c r="K129" s="7" t="s">
        <v>1</v>
      </c>
      <c r="L129" s="6" t="s">
        <v>0</v>
      </c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1"/>
      <c r="Y129" s="1"/>
      <c r="Z129" s="1"/>
      <c r="AA129" s="1"/>
    </row>
    <row r="130" spans="1:27" ht="123" customHeight="1" x14ac:dyDescent="0.25">
      <c r="A130" s="6">
        <f t="shared" si="4"/>
        <v>129</v>
      </c>
      <c r="B130" s="15"/>
      <c r="C130" s="8" t="s">
        <v>26</v>
      </c>
      <c r="D130" s="7" t="s">
        <v>95</v>
      </c>
      <c r="E130" s="22">
        <v>43180</v>
      </c>
      <c r="F130" s="7">
        <v>2018</v>
      </c>
      <c r="G130" s="7" t="s">
        <v>20</v>
      </c>
      <c r="H130" s="7">
        <v>3</v>
      </c>
      <c r="I130" s="7">
        <v>2</v>
      </c>
      <c r="J130" s="7" t="s">
        <v>24</v>
      </c>
      <c r="K130" s="7" t="s">
        <v>1</v>
      </c>
      <c r="L130" s="6" t="s">
        <v>0</v>
      </c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1"/>
      <c r="Y130" s="1"/>
      <c r="Z130" s="1"/>
      <c r="AA130" s="1"/>
    </row>
    <row r="131" spans="1:27" ht="123" customHeight="1" x14ac:dyDescent="0.25">
      <c r="A131" s="6">
        <f t="shared" si="4"/>
        <v>130</v>
      </c>
      <c r="B131" s="15"/>
      <c r="C131" s="8" t="s">
        <v>30</v>
      </c>
      <c r="D131" s="7" t="s">
        <v>4</v>
      </c>
      <c r="E131" s="22">
        <v>43184</v>
      </c>
      <c r="F131" s="7">
        <v>2018</v>
      </c>
      <c r="G131" s="7" t="s">
        <v>86</v>
      </c>
      <c r="H131" s="7">
        <v>0</v>
      </c>
      <c r="I131" s="7">
        <v>3</v>
      </c>
      <c r="J131" s="7" t="s">
        <v>24</v>
      </c>
      <c r="K131" s="7" t="s">
        <v>23</v>
      </c>
      <c r="L131" s="6" t="s">
        <v>0</v>
      </c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1"/>
      <c r="Y131" s="1"/>
      <c r="Z131" s="1"/>
      <c r="AA131" s="1"/>
    </row>
    <row r="132" spans="1:27" ht="123" customHeight="1" x14ac:dyDescent="0.25">
      <c r="A132" s="6">
        <f t="shared" si="4"/>
        <v>131</v>
      </c>
      <c r="B132" s="15"/>
      <c r="C132" s="8" t="s">
        <v>32</v>
      </c>
      <c r="D132" s="7" t="s">
        <v>31</v>
      </c>
      <c r="E132" s="22">
        <v>43187</v>
      </c>
      <c r="F132" s="7">
        <v>2018</v>
      </c>
      <c r="G132" s="7" t="s">
        <v>20</v>
      </c>
      <c r="H132" s="7">
        <v>1</v>
      </c>
      <c r="I132" s="7">
        <v>0</v>
      </c>
      <c r="J132" s="7" t="s">
        <v>24</v>
      </c>
      <c r="K132" s="7" t="s">
        <v>23</v>
      </c>
      <c r="L132" s="6" t="s">
        <v>0</v>
      </c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1"/>
      <c r="Y132" s="1"/>
      <c r="Z132" s="1"/>
      <c r="AA132" s="1"/>
    </row>
    <row r="133" spans="1:27" ht="123" customHeight="1" x14ac:dyDescent="0.45">
      <c r="A133" s="6">
        <f t="shared" si="4"/>
        <v>132</v>
      </c>
      <c r="B133" s="26"/>
      <c r="C133" s="8" t="s">
        <v>26</v>
      </c>
      <c r="D133" s="7" t="s">
        <v>8</v>
      </c>
      <c r="E133" s="22">
        <v>43191</v>
      </c>
      <c r="F133" s="7">
        <v>2018</v>
      </c>
      <c r="G133" s="7" t="s">
        <v>86</v>
      </c>
      <c r="H133" s="7">
        <v>2</v>
      </c>
      <c r="I133" s="7">
        <v>3</v>
      </c>
      <c r="J133" s="7" t="s">
        <v>24</v>
      </c>
      <c r="K133" s="7" t="s">
        <v>1</v>
      </c>
      <c r="L133" s="6" t="s">
        <v>0</v>
      </c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</row>
    <row r="134" spans="1:27" ht="123" customHeight="1" x14ac:dyDescent="0.45">
      <c r="A134" s="51" t="s">
        <v>122</v>
      </c>
      <c r="B134" s="26"/>
      <c r="C134" s="59" t="s">
        <v>123</v>
      </c>
      <c r="D134" s="58"/>
      <c r="E134" s="22">
        <v>43197</v>
      </c>
      <c r="F134" s="56" t="s">
        <v>124</v>
      </c>
      <c r="G134" s="57"/>
      <c r="H134" s="57"/>
      <c r="I134" s="57"/>
      <c r="J134" s="58"/>
      <c r="K134" s="56" t="s">
        <v>1</v>
      </c>
      <c r="L134" s="57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</row>
    <row r="135" spans="1:27" ht="123" customHeight="1" x14ac:dyDescent="0.45">
      <c r="A135" s="32">
        <f>SUM(A133+1)</f>
        <v>133</v>
      </c>
      <c r="B135" s="15"/>
      <c r="C135" s="8" t="s">
        <v>26</v>
      </c>
      <c r="D135" s="7" t="s">
        <v>116</v>
      </c>
      <c r="E135" s="22">
        <v>43198</v>
      </c>
      <c r="F135" s="7">
        <v>2018</v>
      </c>
      <c r="G135" s="7" t="s">
        <v>20</v>
      </c>
      <c r="H135" s="7">
        <v>1</v>
      </c>
      <c r="I135" s="7">
        <v>0</v>
      </c>
      <c r="J135" s="7" t="s">
        <v>24</v>
      </c>
      <c r="K135" s="7" t="s">
        <v>23</v>
      </c>
      <c r="L135" s="6" t="s">
        <v>0</v>
      </c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36" spans="1:27" ht="123" customHeight="1" x14ac:dyDescent="0.45">
      <c r="A136" s="6">
        <f t="shared" si="4"/>
        <v>134</v>
      </c>
      <c r="B136" s="15"/>
      <c r="C136" s="8" t="s">
        <v>46</v>
      </c>
      <c r="D136" s="7" t="s">
        <v>33</v>
      </c>
      <c r="E136" s="22">
        <v>43218</v>
      </c>
      <c r="F136" s="7">
        <v>2018</v>
      </c>
      <c r="G136" s="7" t="s">
        <v>20</v>
      </c>
      <c r="H136" s="7">
        <v>2</v>
      </c>
      <c r="I136" s="7">
        <v>1</v>
      </c>
      <c r="J136" s="7" t="s">
        <v>38</v>
      </c>
      <c r="K136" s="7" t="s">
        <v>1</v>
      </c>
      <c r="L136" s="6" t="s">
        <v>0</v>
      </c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</row>
    <row r="137" spans="1:27" ht="123" customHeight="1" x14ac:dyDescent="0.45">
      <c r="A137" s="6">
        <f t="shared" si="4"/>
        <v>135</v>
      </c>
      <c r="B137" s="15"/>
      <c r="C137" s="8" t="s">
        <v>118</v>
      </c>
      <c r="D137" s="7" t="s">
        <v>15</v>
      </c>
      <c r="E137" s="22">
        <v>43229</v>
      </c>
      <c r="F137" s="7">
        <v>2018</v>
      </c>
      <c r="G137" s="7" t="s">
        <v>85</v>
      </c>
      <c r="H137" s="7">
        <v>1</v>
      </c>
      <c r="I137" s="7">
        <v>1</v>
      </c>
      <c r="J137" s="7" t="s">
        <v>117</v>
      </c>
      <c r="K137" s="7" t="s">
        <v>1</v>
      </c>
      <c r="L137" s="6" t="s">
        <v>0</v>
      </c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</row>
    <row r="138" spans="1:27" ht="123" customHeight="1" x14ac:dyDescent="0.45">
      <c r="A138" s="6">
        <f t="shared" si="4"/>
        <v>136</v>
      </c>
      <c r="B138" s="15"/>
      <c r="C138" s="8" t="s">
        <v>30</v>
      </c>
      <c r="D138" s="7" t="s">
        <v>33</v>
      </c>
      <c r="E138" s="22">
        <v>43234</v>
      </c>
      <c r="F138" s="7">
        <v>2018</v>
      </c>
      <c r="G138" s="7" t="s">
        <v>20</v>
      </c>
      <c r="H138" s="7">
        <v>2</v>
      </c>
      <c r="I138" s="7">
        <v>1</v>
      </c>
      <c r="J138" s="7" t="s">
        <v>38</v>
      </c>
      <c r="K138" s="7" t="s">
        <v>1</v>
      </c>
      <c r="L138" s="6" t="s">
        <v>0</v>
      </c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</row>
    <row r="139" spans="1:27" ht="123" customHeight="1" x14ac:dyDescent="0.45">
      <c r="A139" s="6">
        <f t="shared" si="4"/>
        <v>137</v>
      </c>
      <c r="B139" s="48"/>
      <c r="C139" s="8" t="s">
        <v>20</v>
      </c>
      <c r="D139" s="7" t="s">
        <v>15</v>
      </c>
      <c r="E139" s="22">
        <v>43247</v>
      </c>
      <c r="F139" s="7">
        <v>2018</v>
      </c>
      <c r="G139" s="7" t="s">
        <v>85</v>
      </c>
      <c r="H139" s="7">
        <v>1</v>
      </c>
      <c r="I139" s="7">
        <v>1</v>
      </c>
      <c r="J139" s="7" t="s">
        <v>38</v>
      </c>
      <c r="K139" s="7" t="s">
        <v>1</v>
      </c>
      <c r="L139" s="6" t="s">
        <v>0</v>
      </c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</row>
    <row r="140" spans="1:27" ht="123" customHeight="1" x14ac:dyDescent="0.45">
      <c r="A140" s="6">
        <f t="shared" si="4"/>
        <v>138</v>
      </c>
      <c r="B140" s="48"/>
      <c r="C140" s="8" t="s">
        <v>26</v>
      </c>
      <c r="D140" s="7" t="s">
        <v>33</v>
      </c>
      <c r="E140" s="22">
        <v>43253</v>
      </c>
      <c r="F140" s="7">
        <v>2018</v>
      </c>
      <c r="G140" s="7" t="s">
        <v>20</v>
      </c>
      <c r="H140" s="7">
        <v>2</v>
      </c>
      <c r="I140" s="7">
        <v>1</v>
      </c>
      <c r="J140" s="7" t="s">
        <v>38</v>
      </c>
      <c r="K140" s="7" t="s">
        <v>36</v>
      </c>
      <c r="L140" s="6" t="s">
        <v>0</v>
      </c>
    </row>
    <row r="141" spans="1:27" ht="123" customHeight="1" x14ac:dyDescent="0.45">
      <c r="A141" s="6">
        <f t="shared" si="4"/>
        <v>139</v>
      </c>
      <c r="B141" s="48"/>
      <c r="C141" s="8" t="s">
        <v>48</v>
      </c>
      <c r="D141" s="7" t="s">
        <v>10</v>
      </c>
      <c r="E141" s="22">
        <v>43257</v>
      </c>
      <c r="F141" s="7">
        <v>2018</v>
      </c>
      <c r="G141" s="7" t="s">
        <v>85</v>
      </c>
      <c r="H141" s="7">
        <v>0</v>
      </c>
      <c r="I141" s="7">
        <v>0</v>
      </c>
      <c r="J141" s="7" t="s">
        <v>38</v>
      </c>
      <c r="K141" s="7" t="s">
        <v>1</v>
      </c>
      <c r="L141" s="6" t="s">
        <v>0</v>
      </c>
    </row>
    <row r="142" spans="1:27" ht="123" customHeight="1" x14ac:dyDescent="0.45">
      <c r="A142" s="6">
        <f t="shared" si="4"/>
        <v>140</v>
      </c>
      <c r="B142" s="48"/>
      <c r="C142" s="8" t="s">
        <v>42</v>
      </c>
      <c r="D142" s="7" t="s">
        <v>31</v>
      </c>
      <c r="E142" s="22">
        <v>43307</v>
      </c>
      <c r="F142" s="7">
        <v>2018</v>
      </c>
      <c r="G142" s="7" t="s">
        <v>20</v>
      </c>
      <c r="H142" s="7">
        <v>1</v>
      </c>
      <c r="I142" s="7">
        <v>0</v>
      </c>
      <c r="J142" s="7" t="s">
        <v>38</v>
      </c>
      <c r="K142" s="7" t="s">
        <v>1</v>
      </c>
      <c r="L142" s="6" t="s">
        <v>0</v>
      </c>
    </row>
    <row r="143" spans="1:27" ht="123" customHeight="1" x14ac:dyDescent="0.45">
      <c r="A143" s="6">
        <f t="shared" si="4"/>
        <v>141</v>
      </c>
      <c r="B143" s="48"/>
      <c r="C143" s="8" t="s">
        <v>41</v>
      </c>
      <c r="D143" s="7" t="s">
        <v>10</v>
      </c>
      <c r="E143" s="22">
        <v>43316</v>
      </c>
      <c r="F143" s="7">
        <v>2018</v>
      </c>
      <c r="G143" s="7" t="s">
        <v>85</v>
      </c>
      <c r="H143" s="7">
        <v>0</v>
      </c>
      <c r="I143" s="7">
        <v>0</v>
      </c>
      <c r="J143" s="7" t="s">
        <v>38</v>
      </c>
      <c r="K143" s="7" t="s">
        <v>1</v>
      </c>
      <c r="L143" s="6" t="s">
        <v>0</v>
      </c>
    </row>
    <row r="144" spans="1:27" ht="123" customHeight="1" x14ac:dyDescent="0.45">
      <c r="A144" s="6">
        <f t="shared" si="4"/>
        <v>142</v>
      </c>
      <c r="B144" s="48"/>
      <c r="C144" s="8" t="s">
        <v>120</v>
      </c>
      <c r="D144" s="7" t="s">
        <v>19</v>
      </c>
      <c r="E144" s="22">
        <v>43328</v>
      </c>
      <c r="F144" s="7">
        <v>2018</v>
      </c>
      <c r="G144" s="7" t="s">
        <v>20</v>
      </c>
      <c r="H144" s="7">
        <v>2</v>
      </c>
      <c r="I144" s="7">
        <v>0</v>
      </c>
      <c r="J144" s="7" t="s">
        <v>117</v>
      </c>
      <c r="K144" s="7" t="s">
        <v>1</v>
      </c>
      <c r="L144" s="6" t="s">
        <v>0</v>
      </c>
    </row>
    <row r="145" spans="1:12" ht="123" customHeight="1" x14ac:dyDescent="0.45">
      <c r="A145" s="6">
        <f t="shared" si="4"/>
        <v>143</v>
      </c>
      <c r="B145" s="48"/>
      <c r="C145" s="8" t="s">
        <v>121</v>
      </c>
      <c r="D145" s="7" t="s">
        <v>4</v>
      </c>
      <c r="E145" s="22">
        <v>43331</v>
      </c>
      <c r="F145" s="7">
        <v>2018</v>
      </c>
      <c r="G145" s="7" t="s">
        <v>86</v>
      </c>
      <c r="H145" s="7">
        <v>0</v>
      </c>
      <c r="I145" s="7">
        <v>3</v>
      </c>
      <c r="J145" s="7" t="s">
        <v>38</v>
      </c>
      <c r="K145" s="7" t="s">
        <v>1</v>
      </c>
      <c r="L145" s="6" t="s">
        <v>0</v>
      </c>
    </row>
    <row r="146" spans="1:12" ht="123" customHeight="1" x14ac:dyDescent="0.45">
      <c r="A146" s="6">
        <f t="shared" si="4"/>
        <v>144</v>
      </c>
      <c r="B146" s="48"/>
      <c r="C146" s="8" t="s">
        <v>105</v>
      </c>
      <c r="D146" s="7" t="s">
        <v>19</v>
      </c>
      <c r="E146" s="22">
        <v>43337</v>
      </c>
      <c r="F146" s="7">
        <v>2018</v>
      </c>
      <c r="G146" s="7" t="s">
        <v>20</v>
      </c>
      <c r="H146" s="7">
        <v>2</v>
      </c>
      <c r="I146" s="7">
        <v>0</v>
      </c>
      <c r="J146" s="7" t="s">
        <v>38</v>
      </c>
      <c r="K146" s="7" t="s">
        <v>1</v>
      </c>
      <c r="L146" s="6" t="s">
        <v>0</v>
      </c>
    </row>
    <row r="147" spans="1:12" ht="123" customHeight="1" x14ac:dyDescent="0.45">
      <c r="A147" s="6">
        <f t="shared" si="4"/>
        <v>145</v>
      </c>
      <c r="B147" s="48"/>
      <c r="C147" s="8" t="s">
        <v>114</v>
      </c>
      <c r="D147" s="7" t="s">
        <v>15</v>
      </c>
      <c r="E147" s="22">
        <v>43348</v>
      </c>
      <c r="F147" s="7">
        <v>2018</v>
      </c>
      <c r="G147" s="7" t="s">
        <v>85</v>
      </c>
      <c r="H147" s="7">
        <v>1</v>
      </c>
      <c r="I147" s="7">
        <v>1</v>
      </c>
      <c r="J147" s="7" t="s">
        <v>38</v>
      </c>
      <c r="K147" s="7" t="s">
        <v>1</v>
      </c>
      <c r="L147" s="6" t="s">
        <v>0</v>
      </c>
    </row>
    <row r="148" spans="1:12" ht="123" customHeight="1" x14ac:dyDescent="0.45">
      <c r="A148" s="52">
        <f>SUM(A147+1)</f>
        <v>146</v>
      </c>
      <c r="B148" s="48"/>
      <c r="C148" s="53" t="s">
        <v>30</v>
      </c>
      <c r="D148" s="7" t="s">
        <v>13</v>
      </c>
      <c r="E148" s="22">
        <v>43352</v>
      </c>
      <c r="F148" s="7">
        <v>2018</v>
      </c>
      <c r="G148" s="7" t="s">
        <v>86</v>
      </c>
      <c r="H148" s="7">
        <v>0</v>
      </c>
      <c r="I148" s="7">
        <v>1</v>
      </c>
      <c r="J148" s="7" t="s">
        <v>38</v>
      </c>
      <c r="K148" s="7" t="s">
        <v>23</v>
      </c>
      <c r="L148" s="52" t="s">
        <v>0</v>
      </c>
    </row>
    <row r="149" spans="1:12" ht="123" customHeight="1" x14ac:dyDescent="0.45">
      <c r="A149" s="54">
        <f>SUM(A148+1)</f>
        <v>147</v>
      </c>
      <c r="B149" s="48"/>
      <c r="C149" s="55" t="s">
        <v>3</v>
      </c>
      <c r="D149" s="7" t="s">
        <v>31</v>
      </c>
      <c r="E149" s="22">
        <v>43359</v>
      </c>
      <c r="F149" s="7">
        <v>2018</v>
      </c>
      <c r="G149" s="7" t="s">
        <v>20</v>
      </c>
      <c r="H149" s="7">
        <v>1</v>
      </c>
      <c r="I149" s="7">
        <v>0</v>
      </c>
      <c r="J149" s="7" t="s">
        <v>38</v>
      </c>
      <c r="K149" s="7" t="s">
        <v>1</v>
      </c>
      <c r="L149" s="54" t="s">
        <v>0</v>
      </c>
    </row>
  </sheetData>
  <sortState ref="O3:P7">
    <sortCondition descending="1" ref="P3:P7"/>
  </sortState>
  <mergeCells count="3">
    <mergeCell ref="F134:J134"/>
    <mergeCell ref="C134:D134"/>
    <mergeCell ref="K134:L1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Estatísticas!$A$2:$A$3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="50" zoomScaleNormal="50" workbookViewId="0">
      <selection activeCell="F3" sqref="F3"/>
    </sheetView>
  </sheetViews>
  <sheetFormatPr defaultRowHeight="15" x14ac:dyDescent="0.25"/>
  <cols>
    <col min="1" max="1" width="47.28515625" bestFit="1" customWidth="1"/>
    <col min="2" max="2" width="28.7109375" bestFit="1" customWidth="1"/>
    <col min="3" max="3" width="27.5703125" bestFit="1" customWidth="1"/>
    <col min="4" max="4" width="28.7109375" bestFit="1" customWidth="1"/>
    <col min="5" max="5" width="37" bestFit="1" customWidth="1"/>
    <col min="6" max="6" width="28.7109375" bestFit="1" customWidth="1"/>
    <col min="7" max="7" width="10.140625" customWidth="1"/>
    <col min="8" max="8" width="28.7109375" bestFit="1" customWidth="1"/>
    <col min="9" max="9" width="33" bestFit="1" customWidth="1"/>
    <col min="10" max="10" width="36.42578125" bestFit="1" customWidth="1"/>
    <col min="11" max="11" width="17.28515625" bestFit="1" customWidth="1"/>
  </cols>
  <sheetData>
    <row r="1" spans="1:11" ht="28.5" x14ac:dyDescent="0.25">
      <c r="A1" s="7" t="s">
        <v>82</v>
      </c>
      <c r="B1" s="14" t="s">
        <v>81</v>
      </c>
      <c r="C1" s="7" t="s">
        <v>68</v>
      </c>
      <c r="D1" s="14" t="s">
        <v>81</v>
      </c>
      <c r="E1" s="7" t="s">
        <v>67</v>
      </c>
      <c r="F1" s="14" t="s">
        <v>81</v>
      </c>
      <c r="G1" s="7" t="s">
        <v>83</v>
      </c>
      <c r="H1" s="10" t="s">
        <v>81</v>
      </c>
      <c r="I1" s="7" t="s">
        <v>87</v>
      </c>
      <c r="J1" s="7" t="s">
        <v>89</v>
      </c>
      <c r="K1" s="7" t="s">
        <v>88</v>
      </c>
    </row>
    <row r="2" spans="1:11" ht="28.5" x14ac:dyDescent="0.25">
      <c r="A2" s="7" t="s">
        <v>26</v>
      </c>
      <c r="B2" s="14">
        <f>COUNTIF(Principal!C3:C1006,"Vasco")</f>
        <v>17</v>
      </c>
      <c r="C2" s="7" t="s">
        <v>38</v>
      </c>
      <c r="D2" s="14">
        <f>COUNTIF(Principal!J3:J1008,"Série A")</f>
        <v>77</v>
      </c>
      <c r="E2" s="7" t="s">
        <v>1</v>
      </c>
      <c r="F2" s="14">
        <f>COUNTIF(Principal!K1:K1005,"Nilton Santos")</f>
        <v>79</v>
      </c>
      <c r="G2" s="7">
        <v>2002</v>
      </c>
      <c r="H2" s="10">
        <f>COUNTIF(Principal!F2, "2002")</f>
        <v>1</v>
      </c>
      <c r="I2" s="7">
        <f>COUNTIF(Principal!G2:G1008, "Vitória")</f>
        <v>77</v>
      </c>
      <c r="J2" s="7">
        <f>COUNTIF(Principal!G2:G1008, "Empate")</f>
        <v>31</v>
      </c>
      <c r="K2" s="7">
        <f>COUNTIF(Principal!G2:G1008, "Derrota")</f>
        <v>39</v>
      </c>
    </row>
    <row r="3" spans="1:11" ht="28.5" x14ac:dyDescent="0.45">
      <c r="A3" s="7" t="s">
        <v>30</v>
      </c>
      <c r="B3" s="18">
        <f>COUNTIF(Principal!C3:C1006,"Fluminense")</f>
        <v>16</v>
      </c>
      <c r="C3" s="7" t="s">
        <v>24</v>
      </c>
      <c r="D3" s="18">
        <f>COUNTIF(Principal!J3:J1008,"Carioca")</f>
        <v>45</v>
      </c>
      <c r="E3" s="7" t="s">
        <v>23</v>
      </c>
      <c r="F3" s="18">
        <f>COUNTIF(Principal!K3:K1009,"Maracanã")</f>
        <v>42</v>
      </c>
      <c r="G3" s="7">
        <v>2004</v>
      </c>
      <c r="H3" s="6">
        <f>COUNTIF(Principal!F3:F9, "2004")</f>
        <v>7</v>
      </c>
      <c r="I3" s="19"/>
      <c r="J3" s="19"/>
      <c r="K3" s="20"/>
    </row>
    <row r="4" spans="1:11" ht="28.5" x14ac:dyDescent="0.25">
      <c r="A4" s="7" t="s">
        <v>32</v>
      </c>
      <c r="B4" s="18">
        <f>COUNTIF(Principal!C3:C1009,"Flamengo")</f>
        <v>8</v>
      </c>
      <c r="C4" s="7" t="s">
        <v>2</v>
      </c>
      <c r="D4" s="18">
        <f>COUNTIF(Principal!J3:J1006,"Série B")</f>
        <v>9</v>
      </c>
      <c r="E4" s="7" t="s">
        <v>94</v>
      </c>
      <c r="F4" s="18">
        <f>COUNTIF(Principal!K3:K1004,"Arena Botafogo")</f>
        <v>8</v>
      </c>
      <c r="G4" s="7">
        <v>2005</v>
      </c>
      <c r="H4" s="6">
        <f>COUNTIF(Principal!F10:F16, "2005")</f>
        <v>7</v>
      </c>
      <c r="I4" s="6" t="s">
        <v>92</v>
      </c>
      <c r="J4" s="7" t="s">
        <v>93</v>
      </c>
      <c r="K4" s="21"/>
    </row>
    <row r="5" spans="1:11" ht="28.5" x14ac:dyDescent="0.25">
      <c r="A5" s="7" t="s">
        <v>46</v>
      </c>
      <c r="B5" s="18">
        <f>COUNTIF(Principal!C3:C1006,"Grêmio")</f>
        <v>7</v>
      </c>
      <c r="C5" s="7" t="s">
        <v>43</v>
      </c>
      <c r="D5" s="18">
        <f>COUNTIF(Principal!J1:J1008,"Libertadores")</f>
        <v>7</v>
      </c>
      <c r="E5" s="7" t="s">
        <v>36</v>
      </c>
      <c r="F5" s="18">
        <f>COUNTIF(Principal!K3:K1007,"São Januário")</f>
        <v>6</v>
      </c>
      <c r="G5" s="7">
        <v>2006</v>
      </c>
      <c r="H5" s="6">
        <f>COUNTIF(Principal!F17:F23, "2006")</f>
        <v>7</v>
      </c>
      <c r="I5" s="49">
        <f>SUM(Principal!H3:H1002)</f>
        <v>223</v>
      </c>
      <c r="J5" s="24">
        <f>SUM(Principal!I3:I1002)</f>
        <v>145</v>
      </c>
      <c r="K5" s="21"/>
    </row>
    <row r="6" spans="1:11" ht="28.5" x14ac:dyDescent="0.45">
      <c r="A6" s="7" t="s">
        <v>53</v>
      </c>
      <c r="B6" s="18">
        <f>COUNTIF(Principal!C3:C1004,"Atlético Mineiro")</f>
        <v>5</v>
      </c>
      <c r="C6" s="7" t="s">
        <v>12</v>
      </c>
      <c r="D6" s="18">
        <f>COUNTIF(Principal!J3:J1010,"Copa do Brasil")</f>
        <v>6</v>
      </c>
      <c r="E6" s="7" t="s">
        <v>62</v>
      </c>
      <c r="F6" s="18">
        <f>COUNTIF(Principal!K3:K1011,"Caio Martins")</f>
        <v>5</v>
      </c>
      <c r="G6" s="7">
        <v>2007</v>
      </c>
      <c r="H6" s="6">
        <f>COUNTIF(Principal!F24:F28, "2007")</f>
        <v>5</v>
      </c>
      <c r="I6" s="19"/>
      <c r="J6" s="19"/>
      <c r="K6" s="25"/>
    </row>
    <row r="7" spans="1:11" ht="28.5" x14ac:dyDescent="0.25">
      <c r="A7" s="7" t="s">
        <v>37</v>
      </c>
      <c r="B7" s="18">
        <f>COUNTIF(Principal!C3:C1004,"Boavista")</f>
        <v>4</v>
      </c>
      <c r="C7" s="7" t="s">
        <v>117</v>
      </c>
      <c r="D7" s="18">
        <f>COUNTIF(Principal!J137:J1011,"Sulamericana")</f>
        <v>2</v>
      </c>
      <c r="E7" s="7" t="s">
        <v>77</v>
      </c>
      <c r="F7" s="18">
        <f>COUNTIF(Principal!K3:K1011,"Luso Brasileiro")</f>
        <v>4</v>
      </c>
      <c r="G7" s="7">
        <v>2008</v>
      </c>
      <c r="H7" s="6">
        <f>COUNTIF(Principal!F29:F32, "2008")</f>
        <v>4</v>
      </c>
      <c r="I7" s="7" t="s">
        <v>98</v>
      </c>
      <c r="J7" s="8" t="s">
        <v>97</v>
      </c>
      <c r="K7" s="25"/>
    </row>
    <row r="8" spans="1:11" ht="28.5" x14ac:dyDescent="0.25">
      <c r="A8" s="7" t="s">
        <v>55</v>
      </c>
      <c r="B8" s="18">
        <f>COUNTIF(Principal!C3:C1007,"Internacional")</f>
        <v>3</v>
      </c>
      <c r="C8" s="27"/>
      <c r="D8" s="28"/>
      <c r="E8" s="7" t="s">
        <v>78</v>
      </c>
      <c r="F8" s="18">
        <f>COUNTIF(Principal!K3:K1009,"Raulino de Oliveira")</f>
        <v>2</v>
      </c>
      <c r="G8" s="7">
        <v>2009</v>
      </c>
      <c r="H8" s="6">
        <f>COUNTIF(Principal!F33, "2009")</f>
        <v>1</v>
      </c>
      <c r="I8" s="7">
        <f>COUNTIF(Principal!L3:L1007,"Não")</f>
        <v>49</v>
      </c>
      <c r="J8" s="50">
        <f>COUNTIF(Principal!L3:L1007,"Sim")</f>
        <v>97</v>
      </c>
      <c r="K8" s="25"/>
    </row>
    <row r="9" spans="1:11" ht="28.5" x14ac:dyDescent="0.25">
      <c r="A9" s="7" t="s">
        <v>11</v>
      </c>
      <c r="B9" s="18">
        <f>COUNTIF(Principal!C3:C1005,"Criciúma")</f>
        <v>3</v>
      </c>
      <c r="C9" s="25"/>
      <c r="D9" s="28"/>
      <c r="E9" s="7" t="s">
        <v>79</v>
      </c>
      <c r="F9" s="18">
        <f>COUNTIF(Principal!K3:K1009,"Mário Helênio")</f>
        <v>1</v>
      </c>
      <c r="G9" s="7">
        <v>2010</v>
      </c>
      <c r="H9" s="6">
        <f>COUNTIF(Principal!F34:F36, "2010")</f>
        <v>3</v>
      </c>
      <c r="I9" s="27"/>
      <c r="J9" s="29"/>
      <c r="K9" s="25"/>
    </row>
    <row r="10" spans="1:11" ht="28.5" x14ac:dyDescent="0.45">
      <c r="A10" s="7" t="s">
        <v>34</v>
      </c>
      <c r="B10" s="18">
        <f>COUNTIF(Principal!C3:C1003,"Nova Iguaçu")</f>
        <v>3</v>
      </c>
      <c r="C10" s="25"/>
      <c r="D10" s="25"/>
      <c r="E10" s="20"/>
      <c r="F10" s="20"/>
      <c r="G10" s="7">
        <v>2011</v>
      </c>
      <c r="H10" s="6">
        <f>COUNTIF(Principal!F37:F40, "2011")</f>
        <v>4</v>
      </c>
      <c r="I10" s="19"/>
      <c r="J10" s="19"/>
      <c r="K10" s="25"/>
    </row>
    <row r="11" spans="1:11" ht="28.5" x14ac:dyDescent="0.45">
      <c r="A11" s="7" t="s">
        <v>39</v>
      </c>
      <c r="B11" s="18">
        <f>COUNTIF(Principal!C3:C1013,"Palmeiras")</f>
        <v>4</v>
      </c>
      <c r="C11" s="25"/>
      <c r="D11" s="25"/>
      <c r="E11" s="25"/>
      <c r="F11" s="28"/>
      <c r="G11" s="7">
        <v>2012</v>
      </c>
      <c r="H11" s="6">
        <f>COUNTIF(Principal!F41, "2012")</f>
        <v>1</v>
      </c>
      <c r="I11" s="19"/>
      <c r="J11" s="19"/>
      <c r="K11" s="25"/>
    </row>
    <row r="12" spans="1:11" ht="28.5" x14ac:dyDescent="0.25">
      <c r="A12" s="7" t="s">
        <v>60</v>
      </c>
      <c r="B12" s="18">
        <f>COUNTIF(Principal!C3:C978,"Atlético Paranaense")</f>
        <v>3</v>
      </c>
      <c r="C12" s="25"/>
      <c r="D12" s="25"/>
      <c r="E12" s="25"/>
      <c r="F12" s="28"/>
      <c r="G12" s="7">
        <v>2013</v>
      </c>
      <c r="H12" s="6">
        <f>COUNTIF(Principal!F42:F45, "2013")</f>
        <v>4</v>
      </c>
      <c r="I12" s="25"/>
      <c r="J12" s="29"/>
      <c r="K12" s="25"/>
    </row>
    <row r="13" spans="1:11" ht="28.5" x14ac:dyDescent="0.25">
      <c r="A13" s="7" t="s">
        <v>40</v>
      </c>
      <c r="B13" s="18">
        <f>COUNTIF(Principal!C3:C1000,"Bahia")</f>
        <v>3</v>
      </c>
      <c r="C13" s="25"/>
      <c r="D13" s="25"/>
      <c r="E13" s="25"/>
      <c r="F13" s="28"/>
      <c r="G13" s="7">
        <v>2014</v>
      </c>
      <c r="H13" s="6">
        <f>COUNTIF(Principal!F46:F52, "2014")</f>
        <v>7</v>
      </c>
      <c r="I13" s="25"/>
      <c r="J13" s="29"/>
      <c r="K13" s="25"/>
    </row>
    <row r="14" spans="1:11" ht="28.5" x14ac:dyDescent="0.25">
      <c r="A14" s="7" t="s">
        <v>42</v>
      </c>
      <c r="B14" s="18">
        <f>COUNTIF(Principal!C3:C1000,"Chapecoense")</f>
        <v>4</v>
      </c>
      <c r="C14" s="25"/>
      <c r="D14" s="25"/>
      <c r="E14" s="25"/>
      <c r="F14" s="28"/>
      <c r="G14" s="7">
        <v>2015</v>
      </c>
      <c r="H14" s="6">
        <f>COUNTIF(Principal!F53:F71, "2015")</f>
        <v>19</v>
      </c>
      <c r="I14" s="25"/>
      <c r="J14" s="29"/>
      <c r="K14" s="25"/>
    </row>
    <row r="15" spans="1:11" ht="28.5" x14ac:dyDescent="0.25">
      <c r="A15" s="7" t="s">
        <v>65</v>
      </c>
      <c r="B15" s="18">
        <f>COUNTIF(Principal!C3:C999,"Coritiba")</f>
        <v>3</v>
      </c>
      <c r="C15" s="25"/>
      <c r="D15" s="25"/>
      <c r="E15" s="25"/>
      <c r="F15" s="28"/>
      <c r="G15" s="7">
        <v>2016</v>
      </c>
      <c r="H15" s="6">
        <f>COUNTIF(Principal!F72:F85, "2016")</f>
        <v>14</v>
      </c>
      <c r="I15" s="25"/>
      <c r="J15" s="29"/>
      <c r="K15" s="25"/>
    </row>
    <row r="16" spans="1:11" ht="28.5" x14ac:dyDescent="0.25">
      <c r="A16" s="7" t="s">
        <v>14</v>
      </c>
      <c r="B16" s="18">
        <f>COUNTIF(Principal!C3:C1006,"Figueirense")</f>
        <v>2</v>
      </c>
      <c r="C16" s="25"/>
      <c r="D16" s="25"/>
      <c r="E16" s="25"/>
      <c r="F16" s="28"/>
      <c r="G16" s="7">
        <v>2017</v>
      </c>
      <c r="H16" s="7">
        <f>COUNTIF(Principal!F86:F123, "2017")</f>
        <v>38</v>
      </c>
      <c r="I16" s="21"/>
      <c r="J16" s="29"/>
      <c r="K16" s="25"/>
    </row>
    <row r="17" spans="1:11" ht="28.5" x14ac:dyDescent="0.25">
      <c r="A17" s="7" t="s">
        <v>27</v>
      </c>
      <c r="B17" s="18">
        <f>COUNTIF(Principal!C3:C1009,"Madureira")</f>
        <v>3</v>
      </c>
      <c r="C17" s="25"/>
      <c r="D17" s="25"/>
      <c r="E17" s="25"/>
      <c r="F17" s="28"/>
      <c r="G17" s="7">
        <v>2018</v>
      </c>
      <c r="H17" s="7">
        <f>COUNTIF(Principal!F124:F160, "2018")</f>
        <v>25</v>
      </c>
      <c r="I17" s="21"/>
      <c r="J17" s="29"/>
      <c r="K17" s="25"/>
    </row>
    <row r="18" spans="1:11" ht="28.5" x14ac:dyDescent="0.25">
      <c r="A18" s="7" t="s">
        <v>54</v>
      </c>
      <c r="B18" s="18">
        <f>COUNTIF(Principal!C3:C1007,"Náutico")</f>
        <v>2</v>
      </c>
      <c r="C18" s="25"/>
      <c r="D18" s="25"/>
      <c r="E18" s="25"/>
      <c r="F18" s="25"/>
      <c r="G18" s="27"/>
      <c r="H18" s="31"/>
      <c r="I18" s="25"/>
      <c r="J18" s="29"/>
      <c r="K18" s="25"/>
    </row>
    <row r="19" spans="1:11" ht="28.5" x14ac:dyDescent="0.25">
      <c r="A19" s="7" t="s">
        <v>5</v>
      </c>
      <c r="B19" s="18">
        <f>COUNTIF(Principal!C3:C1004,"Santa Cruz")</f>
        <v>2</v>
      </c>
      <c r="C19" s="25"/>
      <c r="D19" s="25"/>
      <c r="E19" s="25"/>
      <c r="F19" s="25"/>
      <c r="G19" s="25"/>
      <c r="H19" s="28"/>
      <c r="I19" s="25"/>
      <c r="J19" s="29"/>
      <c r="K19" s="25"/>
    </row>
    <row r="20" spans="1:11" ht="28.5" x14ac:dyDescent="0.25">
      <c r="A20" s="7" t="s">
        <v>20</v>
      </c>
      <c r="B20" s="18">
        <f>COUNTIF(Principal!C3:C1008,"Vitória")</f>
        <v>4</v>
      </c>
      <c r="C20" s="25"/>
      <c r="D20" s="25"/>
      <c r="E20" s="25"/>
      <c r="F20" s="25"/>
      <c r="G20" s="25"/>
      <c r="H20" s="28"/>
      <c r="I20" s="25"/>
      <c r="J20" s="29"/>
      <c r="K20" s="25"/>
    </row>
    <row r="21" spans="1:11" ht="28.5" x14ac:dyDescent="0.25">
      <c r="A21" s="7" t="s">
        <v>52</v>
      </c>
      <c r="B21" s="18">
        <f>COUNTIF(Principal!C3:C1004,"Volta Redonda")</f>
        <v>2</v>
      </c>
      <c r="C21" s="25"/>
      <c r="D21" s="25"/>
      <c r="E21" s="25"/>
      <c r="F21" s="25"/>
      <c r="G21" s="25"/>
      <c r="H21" s="28"/>
      <c r="I21" s="25"/>
      <c r="J21" s="29"/>
      <c r="K21" s="25"/>
    </row>
    <row r="22" spans="1:11" ht="28.5" x14ac:dyDescent="0.25">
      <c r="A22" s="7" t="s">
        <v>56</v>
      </c>
      <c r="B22" s="18">
        <f>COUNTIF(Principal!C3:C1017,"Goiás")</f>
        <v>2</v>
      </c>
      <c r="C22" s="25"/>
      <c r="D22" s="25"/>
      <c r="E22" s="25"/>
      <c r="F22" s="25"/>
      <c r="G22" s="25"/>
      <c r="H22" s="28"/>
      <c r="I22" s="25"/>
      <c r="J22" s="29"/>
      <c r="K22" s="25"/>
    </row>
    <row r="23" spans="1:11" ht="28.5" x14ac:dyDescent="0.25">
      <c r="A23" s="7" t="s">
        <v>41</v>
      </c>
      <c r="B23" s="18">
        <f>COUNTIF(Principal!C3:C1014,"Santos")</f>
        <v>4</v>
      </c>
      <c r="C23" s="25"/>
      <c r="D23" s="25"/>
      <c r="E23" s="25"/>
      <c r="F23" s="25"/>
      <c r="G23" s="25"/>
      <c r="H23" s="28"/>
      <c r="I23" s="25"/>
      <c r="J23" s="29"/>
      <c r="K23" s="25"/>
    </row>
    <row r="24" spans="1:11" ht="28.5" x14ac:dyDescent="0.25">
      <c r="A24" s="7" t="s">
        <v>3</v>
      </c>
      <c r="B24" s="18">
        <f>COUNTIF(Principal!C3:C996,"América-MG")</f>
        <v>2</v>
      </c>
      <c r="C24" s="25"/>
      <c r="D24" s="25"/>
      <c r="E24" s="25"/>
      <c r="F24" s="25"/>
      <c r="G24" s="25"/>
      <c r="H24" s="28"/>
      <c r="I24" s="25"/>
      <c r="J24" s="29"/>
      <c r="K24" s="25"/>
    </row>
    <row r="25" spans="1:11" ht="28.5" x14ac:dyDescent="0.25">
      <c r="A25" s="7" t="s">
        <v>103</v>
      </c>
      <c r="B25" s="18">
        <f>COUNTIF(Principal!C3:C1023,"Americano")</f>
        <v>1</v>
      </c>
      <c r="C25" s="25"/>
      <c r="D25" s="25"/>
      <c r="E25" s="25"/>
      <c r="F25" s="25"/>
      <c r="G25" s="25"/>
      <c r="H25" s="28"/>
      <c r="I25" s="25"/>
      <c r="J25" s="29"/>
      <c r="K25" s="25"/>
    </row>
    <row r="26" spans="1:11" ht="28.5" x14ac:dyDescent="0.25">
      <c r="A26" s="7" t="s">
        <v>16</v>
      </c>
      <c r="B26" s="18">
        <f>COUNTIF(Principal!C3:C1001,"Boa Esporte")</f>
        <v>1</v>
      </c>
      <c r="C26" s="25"/>
      <c r="D26" s="25"/>
      <c r="E26" s="25"/>
      <c r="F26" s="25"/>
      <c r="G26" s="25"/>
      <c r="H26" s="28"/>
      <c r="I26" s="25"/>
      <c r="J26" s="29"/>
      <c r="K26" s="25"/>
    </row>
    <row r="27" spans="1:11" ht="28.5" x14ac:dyDescent="0.25">
      <c r="A27" s="7" t="s">
        <v>35</v>
      </c>
      <c r="B27" s="18">
        <f>COUNTIF(Principal!C3:C1006,"Bonsucesso")</f>
        <v>1</v>
      </c>
      <c r="C27" s="25"/>
      <c r="D27" s="25"/>
      <c r="E27" s="25"/>
      <c r="F27" s="25"/>
      <c r="G27" s="25"/>
      <c r="H27" s="28"/>
      <c r="I27" s="25"/>
      <c r="J27" s="29"/>
      <c r="K27" s="25"/>
    </row>
    <row r="28" spans="1:11" ht="28.5" x14ac:dyDescent="0.25">
      <c r="A28" s="7" t="s">
        <v>7</v>
      </c>
      <c r="B28" s="18">
        <f>COUNTIF(Principal!C3:C1001,"Bragantino")</f>
        <v>1</v>
      </c>
      <c r="C28" s="25"/>
      <c r="D28" s="25"/>
      <c r="E28" s="25"/>
      <c r="F28" s="25"/>
      <c r="G28" s="25"/>
      <c r="H28" s="28"/>
      <c r="I28" s="25"/>
      <c r="J28" s="29"/>
      <c r="K28" s="25"/>
    </row>
    <row r="29" spans="1:11" ht="28.5" x14ac:dyDescent="0.25">
      <c r="A29" s="7" t="s">
        <v>48</v>
      </c>
      <c r="B29" s="18">
        <f>COUNTIF(Principal!C3:C1011,"Ceará")</f>
        <v>2</v>
      </c>
      <c r="C29" s="25"/>
      <c r="D29" s="25"/>
      <c r="E29" s="25"/>
      <c r="F29" s="25"/>
      <c r="G29" s="25"/>
      <c r="H29" s="28"/>
      <c r="I29" s="25"/>
      <c r="J29" s="29"/>
      <c r="K29" s="25"/>
    </row>
    <row r="30" spans="1:11" ht="28.5" x14ac:dyDescent="0.25">
      <c r="A30" s="7" t="s">
        <v>100</v>
      </c>
      <c r="B30" s="18">
        <f>COUNTIF(Principal!C3:C993,"Colo-Colo")</f>
        <v>1</v>
      </c>
      <c r="C30" s="25"/>
      <c r="D30" s="25"/>
      <c r="E30" s="25"/>
      <c r="F30" s="25"/>
      <c r="G30" s="25"/>
      <c r="H30" s="28"/>
      <c r="I30" s="25"/>
      <c r="J30" s="29"/>
      <c r="K30" s="25"/>
    </row>
    <row r="31" spans="1:11" ht="28.5" x14ac:dyDescent="0.25">
      <c r="A31" s="7" t="s">
        <v>63</v>
      </c>
      <c r="B31" s="18">
        <f>COUNTIF(Principal!C3:C998,"Corinthians")</f>
        <v>2</v>
      </c>
      <c r="C31" s="25"/>
      <c r="D31" s="25"/>
      <c r="E31" s="25"/>
      <c r="F31" s="25"/>
      <c r="G31" s="25"/>
      <c r="H31" s="28"/>
      <c r="I31" s="25"/>
      <c r="J31" s="29"/>
      <c r="K31" s="25"/>
    </row>
    <row r="32" spans="1:11" ht="28.5" x14ac:dyDescent="0.25">
      <c r="A32" s="7" t="s">
        <v>22</v>
      </c>
      <c r="B32" s="18">
        <f>COUNTIF(Principal!C3:C1009,"CRB")</f>
        <v>1</v>
      </c>
      <c r="C32" s="25"/>
      <c r="D32" s="25"/>
      <c r="E32" s="25"/>
      <c r="F32" s="25"/>
      <c r="G32" s="25"/>
      <c r="H32" s="28"/>
      <c r="I32" s="25"/>
      <c r="J32" s="29"/>
      <c r="K32" s="25"/>
    </row>
    <row r="33" spans="1:11" ht="28.5" x14ac:dyDescent="0.25">
      <c r="A33" s="7" t="s">
        <v>45</v>
      </c>
      <c r="B33" s="18">
        <f>COUNTIF(Principal!C3:C1014,"Deportivo Quito")</f>
        <v>1</v>
      </c>
      <c r="C33" s="25"/>
      <c r="D33" s="25"/>
      <c r="E33" s="25"/>
      <c r="F33" s="25"/>
      <c r="G33" s="25"/>
      <c r="H33" s="28"/>
      <c r="I33" s="25"/>
      <c r="J33" s="29"/>
      <c r="K33" s="25"/>
    </row>
    <row r="34" spans="1:11" ht="28.5" x14ac:dyDescent="0.25">
      <c r="A34" s="7" t="s">
        <v>64</v>
      </c>
      <c r="B34" s="18">
        <f>COUNTIF(Principal!C3:C1002,"Guarani")</f>
        <v>1</v>
      </c>
      <c r="C34" s="25"/>
      <c r="D34" s="25"/>
      <c r="E34" s="25"/>
      <c r="F34" s="25"/>
      <c r="G34" s="25"/>
      <c r="H34" s="28"/>
      <c r="I34" s="25"/>
      <c r="J34" s="29"/>
      <c r="K34" s="25"/>
    </row>
    <row r="35" spans="1:11" ht="28.5" x14ac:dyDescent="0.25">
      <c r="A35" s="7" t="s">
        <v>44</v>
      </c>
      <c r="B35" s="18">
        <f>COUNTIF(Principal!C3:C1015,"Independiente Del Valle")</f>
        <v>1</v>
      </c>
      <c r="C35" s="25"/>
      <c r="D35" s="25"/>
      <c r="E35" s="25"/>
      <c r="F35" s="25"/>
      <c r="G35" s="25"/>
      <c r="H35" s="28"/>
      <c r="I35" s="25"/>
      <c r="J35" s="29"/>
      <c r="K35" s="25"/>
    </row>
    <row r="36" spans="1:11" ht="28.5" x14ac:dyDescent="0.25">
      <c r="A36" s="7" t="s">
        <v>101</v>
      </c>
      <c r="B36" s="18">
        <f>COUNTIF(Principal!C3:C998,"Macaé")</f>
        <v>1</v>
      </c>
      <c r="C36" s="25"/>
      <c r="D36" s="25"/>
      <c r="E36" s="25"/>
      <c r="F36" s="25"/>
      <c r="G36" s="25"/>
      <c r="H36" s="28"/>
      <c r="I36" s="25"/>
      <c r="J36" s="29"/>
      <c r="K36" s="25"/>
    </row>
    <row r="37" spans="1:11" ht="28.5" x14ac:dyDescent="0.25">
      <c r="A37" s="7" t="s">
        <v>18</v>
      </c>
      <c r="B37" s="18">
        <f>COUNTIF(Principal!C3:C1013,"Mogi Mirim")</f>
        <v>1</v>
      </c>
      <c r="C37" s="25"/>
      <c r="D37" s="25"/>
      <c r="E37" s="25"/>
      <c r="F37" s="25"/>
      <c r="G37" s="25"/>
      <c r="H37" s="28"/>
      <c r="I37" s="25"/>
      <c r="J37" s="29"/>
      <c r="K37" s="25"/>
    </row>
    <row r="38" spans="1:11" ht="28.5" x14ac:dyDescent="0.25">
      <c r="A38" s="7" t="s">
        <v>102</v>
      </c>
      <c r="B38" s="18">
        <f>COUNTIF(Principal!C3:C999,"Olimpia")</f>
        <v>1</v>
      </c>
      <c r="C38" s="25"/>
      <c r="D38" s="25"/>
      <c r="E38" s="25"/>
      <c r="F38" s="25"/>
      <c r="G38" s="25"/>
      <c r="H38" s="28"/>
      <c r="I38" s="25"/>
      <c r="J38" s="29"/>
      <c r="K38" s="25"/>
    </row>
    <row r="39" spans="1:11" ht="28.5" x14ac:dyDescent="0.25">
      <c r="A39" s="7" t="s">
        <v>9</v>
      </c>
      <c r="B39" s="18">
        <f>COUNTIF(Principal!C3:C1013,"Paysandu")</f>
        <v>1</v>
      </c>
      <c r="C39" s="25"/>
      <c r="D39" s="25"/>
      <c r="E39" s="25"/>
      <c r="F39" s="25"/>
      <c r="G39" s="25"/>
      <c r="H39" s="28"/>
      <c r="I39" s="25"/>
      <c r="J39" s="29"/>
      <c r="K39" s="25"/>
    </row>
    <row r="40" spans="1:11" ht="28.5" x14ac:dyDescent="0.25">
      <c r="A40" s="7" t="s">
        <v>96</v>
      </c>
      <c r="B40" s="18">
        <f>COUNTIF(Principal!C3:C1009,"Ponte Preta")</f>
        <v>2</v>
      </c>
      <c r="C40" s="25"/>
      <c r="D40" s="25"/>
      <c r="E40" s="25"/>
      <c r="F40" s="25"/>
      <c r="G40" s="25"/>
      <c r="H40" s="28"/>
      <c r="I40" s="25"/>
      <c r="J40" s="29"/>
      <c r="K40" s="25"/>
    </row>
    <row r="41" spans="1:11" ht="28.5" x14ac:dyDescent="0.25">
      <c r="A41" s="7" t="s">
        <v>73</v>
      </c>
      <c r="B41" s="18">
        <f>COUNTIF(Principal!C3:C1012,"Portuguesa-RJ")</f>
        <v>2</v>
      </c>
      <c r="C41" s="25"/>
      <c r="D41" s="25"/>
      <c r="E41" s="25"/>
      <c r="F41" s="25"/>
      <c r="G41" s="25"/>
      <c r="H41" s="28"/>
      <c r="I41" s="25"/>
      <c r="J41" s="29"/>
      <c r="K41" s="25"/>
    </row>
    <row r="42" spans="1:11" ht="28.5" x14ac:dyDescent="0.25">
      <c r="A42" s="7" t="s">
        <v>28</v>
      </c>
      <c r="B42" s="18">
        <f>COUNTIF(Principal!C3:C1020,"Resende")</f>
        <v>1</v>
      </c>
      <c r="C42" s="25"/>
      <c r="D42" s="25"/>
      <c r="E42" s="25"/>
      <c r="F42" s="25"/>
      <c r="G42" s="25"/>
      <c r="H42" s="28"/>
      <c r="I42" s="25"/>
      <c r="J42" s="29"/>
      <c r="K42" s="25"/>
    </row>
    <row r="43" spans="1:11" ht="28.5" x14ac:dyDescent="0.25">
      <c r="A43" s="7" t="s">
        <v>59</v>
      </c>
      <c r="B43" s="40">
        <f>COUNTIF(Principal!C3:C1008,"São Caetano")</f>
        <v>1</v>
      </c>
      <c r="C43" s="25"/>
      <c r="D43" s="25"/>
      <c r="E43" s="25"/>
      <c r="F43" s="25"/>
      <c r="G43" s="25"/>
      <c r="H43" s="28"/>
      <c r="I43" s="25"/>
      <c r="J43" s="29"/>
      <c r="K43" s="25"/>
    </row>
    <row r="44" spans="1:11" ht="28.5" x14ac:dyDescent="0.25">
      <c r="A44" s="7" t="s">
        <v>80</v>
      </c>
      <c r="B44" s="8">
        <f>COUNTIF(Principal!C3:C1014,"São Paulo")</f>
        <v>2</v>
      </c>
      <c r="C44" s="21"/>
      <c r="D44" s="25"/>
      <c r="E44" s="25"/>
      <c r="F44" s="25"/>
      <c r="G44" s="25"/>
      <c r="H44" s="28"/>
      <c r="I44" s="25"/>
      <c r="J44" s="29"/>
      <c r="K44" s="25"/>
    </row>
    <row r="45" spans="1:11" ht="28.5" x14ac:dyDescent="0.25">
      <c r="A45" s="7" t="s">
        <v>99</v>
      </c>
      <c r="B45" s="8">
        <f>COUNTIF(Principal!C3:C1038,"Paraná")</f>
        <v>1</v>
      </c>
      <c r="C45" s="21"/>
      <c r="D45" s="25"/>
      <c r="E45" s="25"/>
      <c r="F45" s="25"/>
      <c r="G45" s="25"/>
      <c r="H45" s="28"/>
      <c r="I45" s="25"/>
      <c r="J45" s="29"/>
      <c r="K45" s="25"/>
    </row>
    <row r="46" spans="1:11" ht="28.5" x14ac:dyDescent="0.25">
      <c r="A46" s="7" t="s">
        <v>110</v>
      </c>
      <c r="B46" s="8">
        <f>COUNTIF(Principal!C3:C1038,"Avaí")</f>
        <v>1</v>
      </c>
      <c r="C46" s="21"/>
      <c r="D46" s="25"/>
      <c r="E46" s="25"/>
      <c r="F46" s="25"/>
      <c r="G46" s="25"/>
      <c r="H46" s="28"/>
      <c r="I46" s="25"/>
      <c r="J46" s="29"/>
      <c r="K46" s="25"/>
    </row>
    <row r="47" spans="1:11" ht="28.5" x14ac:dyDescent="0.25">
      <c r="A47" s="7" t="s">
        <v>112</v>
      </c>
      <c r="B47" s="8">
        <f>COUNTIF(Principal!C3:C1001,"Nacional-URU")</f>
        <v>1</v>
      </c>
      <c r="C47" s="21"/>
      <c r="D47" s="25"/>
      <c r="E47" s="25"/>
      <c r="F47" s="25"/>
      <c r="G47" s="25"/>
      <c r="H47" s="28"/>
      <c r="I47" s="25"/>
      <c r="J47" s="29"/>
      <c r="K47" s="25"/>
    </row>
    <row r="48" spans="1:11" ht="28.5" x14ac:dyDescent="0.25">
      <c r="A48" s="7" t="s">
        <v>113</v>
      </c>
      <c r="B48" s="8">
        <f>COUNTIF(Principal!C4:C1002,"Atlético Goianiense")</f>
        <v>1</v>
      </c>
      <c r="C48" s="21"/>
      <c r="D48" s="25"/>
      <c r="E48" s="25"/>
      <c r="F48" s="25"/>
      <c r="G48" s="25"/>
      <c r="H48" s="28"/>
      <c r="I48" s="25"/>
      <c r="J48" s="29"/>
      <c r="K48" s="25"/>
    </row>
    <row r="49" spans="1:11" ht="28.5" x14ac:dyDescent="0.25">
      <c r="A49" s="7" t="s">
        <v>114</v>
      </c>
      <c r="B49" s="8">
        <f>COUNTIF(Principal!C5:C1003,"Cruzeiro")</f>
        <v>2</v>
      </c>
      <c r="C49" s="21"/>
      <c r="D49" s="25"/>
      <c r="E49" s="25"/>
      <c r="F49" s="25"/>
      <c r="G49" s="25"/>
      <c r="H49" s="28"/>
      <c r="I49" s="25"/>
      <c r="J49" s="29"/>
      <c r="K49" s="25"/>
    </row>
    <row r="50" spans="1:11" ht="28.5" x14ac:dyDescent="0.25">
      <c r="A50" s="7" t="s">
        <v>118</v>
      </c>
      <c r="B50" s="8">
        <f>COUNTIF(Principal!C137:C1004,"Audax Italiano")</f>
        <v>1</v>
      </c>
      <c r="C50" s="25"/>
      <c r="D50" s="25"/>
      <c r="E50" s="25"/>
      <c r="F50" s="25"/>
      <c r="G50" s="25"/>
      <c r="H50" s="28"/>
      <c r="I50" s="25"/>
      <c r="J50" s="29"/>
      <c r="K50" s="25"/>
    </row>
    <row r="51" spans="1:11" ht="28.5" x14ac:dyDescent="0.25">
      <c r="A51" s="7" t="s">
        <v>108</v>
      </c>
      <c r="B51" s="47">
        <f>COUNTIF(Principal!C97:C1004,"Atlético Nacional")</f>
        <v>1</v>
      </c>
      <c r="C51" s="25"/>
      <c r="D51" s="25"/>
      <c r="E51" s="25"/>
      <c r="F51" s="25"/>
      <c r="G51" s="25"/>
      <c r="H51" s="28"/>
      <c r="I51" s="25"/>
      <c r="J51" s="29"/>
      <c r="K51" s="25"/>
    </row>
    <row r="52" spans="1:11" ht="28.5" x14ac:dyDescent="0.25">
      <c r="A52" s="7" t="s">
        <v>105</v>
      </c>
      <c r="B52" s="47">
        <f>COUNTIF(Principal!C95:C1005,"Sport")</f>
        <v>3</v>
      </c>
      <c r="C52" s="25"/>
      <c r="D52" s="25"/>
      <c r="E52" s="25"/>
      <c r="F52" s="25"/>
      <c r="G52" s="25"/>
      <c r="H52" s="28"/>
      <c r="I52" s="25"/>
      <c r="J52" s="29"/>
      <c r="K52" s="25"/>
    </row>
    <row r="53" spans="1:11" ht="28.5" x14ac:dyDescent="0.25">
      <c r="A53" s="7" t="s">
        <v>107</v>
      </c>
      <c r="B53" s="47">
        <f>COUNTIF(Principal!C96:C1006,"Barcelona SC")</f>
        <v>1</v>
      </c>
      <c r="C53" s="25"/>
      <c r="D53" s="25"/>
      <c r="E53" s="25"/>
      <c r="F53" s="25"/>
      <c r="G53" s="25"/>
      <c r="H53" s="28"/>
      <c r="I53" s="25"/>
      <c r="J53" s="29"/>
      <c r="K53" s="25"/>
    </row>
    <row r="54" spans="1:11" ht="28.5" x14ac:dyDescent="0.25">
      <c r="A54" s="7" t="s">
        <v>115</v>
      </c>
      <c r="B54" s="47">
        <f>COUNTIF(Principal!C128:C1007,"Bangu")</f>
        <v>1</v>
      </c>
      <c r="C54" s="25"/>
      <c r="D54" s="25"/>
      <c r="E54" s="25"/>
      <c r="F54" s="25"/>
      <c r="G54" s="25"/>
      <c r="H54" s="28"/>
      <c r="I54" s="25"/>
      <c r="J54" s="29"/>
      <c r="K54" s="25"/>
    </row>
    <row r="55" spans="1:11" ht="28.5" x14ac:dyDescent="0.25">
      <c r="A55" s="7" t="s">
        <v>120</v>
      </c>
      <c r="B55" s="47">
        <f>COUNTIF(Principal!C144:C1008,"Nacional-PAR")</f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Estatísticas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2018-09-17T02:22:04Z</dcterms:modified>
</cp:coreProperties>
</file>