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1" l="1"/>
  <c r="S18" i="1" l="1"/>
  <c r="A125" i="1"/>
  <c r="A124" i="1"/>
  <c r="S3" i="1"/>
  <c r="S4" i="1"/>
  <c r="S17" i="1" l="1"/>
  <c r="S16" i="1"/>
  <c r="S15" i="1"/>
  <c r="S14" i="1"/>
  <c r="S13" i="1"/>
  <c r="S12" i="1"/>
  <c r="S11" i="1"/>
  <c r="S10" i="1"/>
  <c r="S9" i="1"/>
  <c r="S8" i="1"/>
  <c r="S7" i="1"/>
  <c r="S6" i="1"/>
  <c r="S5" i="1"/>
  <c r="M50" i="1" l="1"/>
  <c r="M49" i="1" l="1"/>
  <c r="M48" i="1" l="1"/>
  <c r="M47" i="1" l="1"/>
  <c r="M46" i="1"/>
  <c r="O7" i="1" l="1"/>
  <c r="Q4" i="1"/>
  <c r="O5" i="1" l="1"/>
  <c r="O6" i="1"/>
  <c r="O4" i="1" l="1"/>
  <c r="O3" i="1"/>
  <c r="Q9" i="1"/>
  <c r="Q8" i="1"/>
  <c r="Q7" i="1"/>
  <c r="Q6" i="1"/>
  <c r="Q5" i="1"/>
  <c r="Q3" i="1"/>
  <c r="Q10" i="1"/>
  <c r="W3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T3" i="1"/>
  <c r="U3" i="1"/>
  <c r="V3" i="1"/>
  <c r="X3" i="1"/>
  <c r="A5" i="1" l="1"/>
  <c r="A6" i="1" s="1"/>
  <c r="A7" i="1" s="1"/>
  <c r="Z3" i="1" l="1"/>
  <c r="Y3" i="1"/>
  <c r="A8" i="1" l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<sst xmlns="http://schemas.openxmlformats.org/spreadsheetml/2006/main" count="832" uniqueCount="116">
  <si>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</si>
  <si>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</si>
  <si>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</si>
  <si>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</si>
  <si>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</si>
  <si>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</si>
  <si>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</si>
  <si>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</si>
  <si>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</si>
  <si>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</si>
  <si>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</si>
  <si>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</si>
  <si>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</si>
  <si>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</si>
  <si>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</si>
  <si>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</si>
  <si>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</si>
  <si>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</si>
  <si>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</si>
  <si>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</si>
  <si>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</si>
  <si>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</si>
  <si>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</si>
  <si>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</si>
  <si>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</si>
  <si>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</si>
  <si>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</si>
  <si>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</si>
  <si>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</si>
  <si>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</si>
  <si>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</si>
  <si>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</si>
  <si>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</si>
  <si>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</si>
  <si>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</si>
  <si>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</si>
  <si>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</si>
  <si>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</si>
  <si>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</si>
  <si>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</si>
  <si>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</si>
  <si>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</si>
  <si>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</si>
  <si>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</si>
  <si>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</si>
  <si>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</si>
  <si>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</si>
  <si>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</si>
  <si>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</si>
  <si>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</si>
  <si>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</si>
  <si>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</si>
  <si>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</si>
  <si>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</si>
  <si>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</si>
  <si>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</si>
  <si>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</si>
  <si>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</si>
  <si>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</si>
  <si>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</si>
  <si>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</si>
  <si>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</si>
  <si>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</si>
  <si>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</si>
  <si>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</si>
  <si>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</si>
  <si>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</si>
  <si>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</si>
  <si>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</si>
  <si>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</si>
  <si>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</si>
  <si>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</si>
  <si>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Jogos do Botafogo que já fui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</si>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</sst>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1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6"/>
  <sheetViews>
    <sheetView tabSelected="1" topLeftCell="A97" zoomScale="70" zoomScaleNormal="70" workbookViewId="0">
      <selection activeCell="I130" sqref="I130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61" t="s">
        <v>72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1"/>
      <c r="AA1" s="35"/>
      <c r="AB1" s="35"/>
      <c r="AC1" s="35"/>
      <c r="AD1" s="35"/>
      <c r="AE1" s="35"/>
    </row>
    <row r="2" spans="1:31" x14ac:dyDescent="0.25">
      <c r="A2" s="43" t="s">
        <v>73</v>
      </c>
      <c r="B2" s="43" t="s">
        <v>71</v>
      </c>
      <c r="C2" s="43" t="s">
        <v>70</v>
      </c>
      <c r="D2" s="43" t="s">
        <v>69</v>
      </c>
      <c r="E2" s="43" t="s">
        <v>84</v>
      </c>
      <c r="F2" s="43" t="s">
        <v>85</v>
      </c>
      <c r="G2" s="43" t="s">
        <v>91</v>
      </c>
      <c r="H2" s="43" t="s">
        <v>92</v>
      </c>
      <c r="I2" s="43" t="s">
        <v>68</v>
      </c>
      <c r="J2" s="43" t="s">
        <v>67</v>
      </c>
      <c r="K2" s="43" t="s">
        <v>66</v>
      </c>
      <c r="L2" s="24" t="s">
        <v>83</v>
      </c>
      <c r="M2" s="3" t="s">
        <v>82</v>
      </c>
      <c r="N2" s="24" t="s">
        <v>68</v>
      </c>
      <c r="O2" s="3" t="s">
        <v>82</v>
      </c>
      <c r="P2" s="24" t="s">
        <v>67</v>
      </c>
      <c r="Q2" s="3" t="s">
        <v>82</v>
      </c>
      <c r="R2" s="24" t="s">
        <v>84</v>
      </c>
      <c r="S2" s="3" t="s">
        <v>82</v>
      </c>
      <c r="T2" s="29" t="s">
        <v>88</v>
      </c>
      <c r="U2" s="25" t="s">
        <v>90</v>
      </c>
      <c r="V2" s="29" t="s">
        <v>89</v>
      </c>
      <c r="W2" s="25" t="s">
        <v>93</v>
      </c>
      <c r="X2" s="51" t="s">
        <v>94</v>
      </c>
      <c r="Y2" s="52" t="s">
        <v>98</v>
      </c>
      <c r="Z2" s="53" t="s">
        <v>99</v>
      </c>
      <c r="AA2" s="35"/>
      <c r="AB2" s="35"/>
      <c r="AC2" s="35"/>
      <c r="AD2" s="35"/>
      <c r="AE2" s="35"/>
    </row>
    <row r="3" spans="1:31" x14ac:dyDescent="0.25">
      <c r="A3" s="3">
        <v>1</v>
      </c>
      <c r="B3" s="3" t="s">
        <v>30</v>
      </c>
      <c r="C3" s="3" t="s">
        <v>8</v>
      </c>
      <c r="D3" s="4">
        <v>37555</v>
      </c>
      <c r="E3" s="3">
        <v>2002</v>
      </c>
      <c r="F3" s="3" t="s">
        <v>87</v>
      </c>
      <c r="G3" s="3">
        <v>2</v>
      </c>
      <c r="H3" s="3">
        <v>3</v>
      </c>
      <c r="I3" s="3" t="s">
        <v>38</v>
      </c>
      <c r="J3" s="3" t="s">
        <v>23</v>
      </c>
      <c r="K3" s="6" t="s">
        <v>49</v>
      </c>
      <c r="L3" s="9" t="s">
        <v>26</v>
      </c>
      <c r="M3" s="16">
        <f>COUNTIF(B4:B1006,"Vasco")</f>
        <v>12</v>
      </c>
      <c r="N3" s="10" t="s">
        <v>38</v>
      </c>
      <c r="O3" s="6">
        <f>COUNTIF(I4:I1008,"Série A")</f>
        <v>65</v>
      </c>
      <c r="P3" s="10" t="s">
        <v>1</v>
      </c>
      <c r="Q3" s="6">
        <f>COUNTIF(J2:J1005,"Nilton Santos")</f>
        <v>60</v>
      </c>
      <c r="R3" s="24">
        <v>2002</v>
      </c>
      <c r="S3" s="6">
        <f>COUNTIF(E3, "2002")</f>
        <v>1</v>
      </c>
      <c r="T3" s="56">
        <f>COUNTIF(F4:F1008, "Vitória")</f>
        <v>65</v>
      </c>
      <c r="U3" s="55">
        <f>COUNTIF(F4:F1008, "Empate")</f>
        <v>25</v>
      </c>
      <c r="V3" s="56">
        <f>COUNTIF(F4:F1008, "Derrota")</f>
        <v>33</v>
      </c>
      <c r="W3" s="57">
        <f>SUM(G4:G1002)</f>
        <v>197</v>
      </c>
      <c r="X3" s="58">
        <f>SUM(H4:H1002)</f>
        <v>124</v>
      </c>
      <c r="Y3" s="59">
        <f>COUNTIF(K4:K1007,"Sim")</f>
        <v>71</v>
      </c>
      <c r="Z3" s="56">
        <f>COUNTIF(K4:K1007,"Não")</f>
        <v>52</v>
      </c>
      <c r="AA3" s="35"/>
      <c r="AB3" s="35"/>
      <c r="AC3" s="35"/>
      <c r="AD3" s="35"/>
      <c r="AE3" s="35"/>
    </row>
    <row r="4" spans="1:31" x14ac:dyDescent="0.25">
      <c r="A4" s="3">
        <v>2</v>
      </c>
      <c r="B4" s="3" t="s">
        <v>32</v>
      </c>
      <c r="C4" s="3" t="s">
        <v>31</v>
      </c>
      <c r="D4" s="4">
        <v>38060</v>
      </c>
      <c r="E4" s="14">
        <v>2004</v>
      </c>
      <c r="F4" s="4" t="s">
        <v>20</v>
      </c>
      <c r="G4" s="12">
        <v>1</v>
      </c>
      <c r="H4" s="14">
        <v>0</v>
      </c>
      <c r="I4" s="3" t="s">
        <v>24</v>
      </c>
      <c r="J4" s="3" t="s">
        <v>23</v>
      </c>
      <c r="K4" s="6" t="s">
        <v>49</v>
      </c>
      <c r="L4" s="5" t="s">
        <v>30</v>
      </c>
      <c r="M4" s="17">
        <f>COUNTIF(B4:B1006,"Fluminense")</f>
        <v>13</v>
      </c>
      <c r="N4" s="8" t="s">
        <v>24</v>
      </c>
      <c r="O4" s="7">
        <f>COUNTIF(I4:I1008,"Carioca")</f>
        <v>36</v>
      </c>
      <c r="P4" s="8" t="s">
        <v>23</v>
      </c>
      <c r="Q4" s="7">
        <f>COUNTIF(J4:J1009,"Maracanã")</f>
        <v>38</v>
      </c>
      <c r="R4" s="21">
        <v>2004</v>
      </c>
      <c r="S4" s="7">
        <f>COUNTIF(E4:E10, "2004")</f>
        <v>7</v>
      </c>
      <c r="AA4" s="35"/>
      <c r="AB4" s="35"/>
      <c r="AC4" s="35"/>
      <c r="AD4" s="35"/>
      <c r="AE4" s="35"/>
    </row>
    <row r="5" spans="1:31" x14ac:dyDescent="0.25">
      <c r="A5" s="43">
        <f>SUM(A4+1)</f>
        <v>3</v>
      </c>
      <c r="B5" s="3" t="s">
        <v>60</v>
      </c>
      <c r="C5" s="3" t="s">
        <v>15</v>
      </c>
      <c r="D5" s="4">
        <v>38211</v>
      </c>
      <c r="E5" s="14">
        <v>2004</v>
      </c>
      <c r="F5" s="4" t="s">
        <v>86</v>
      </c>
      <c r="G5" s="12">
        <v>1</v>
      </c>
      <c r="H5" s="14">
        <v>1</v>
      </c>
      <c r="I5" s="3" t="s">
        <v>38</v>
      </c>
      <c r="J5" s="3" t="s">
        <v>62</v>
      </c>
      <c r="K5" s="6" t="s">
        <v>49</v>
      </c>
      <c r="L5" s="5" t="s">
        <v>32</v>
      </c>
      <c r="M5" s="17">
        <f>COUNTIF(B4:B1009,"Flamengo")</f>
        <v>7</v>
      </c>
      <c r="N5" s="8" t="s">
        <v>2</v>
      </c>
      <c r="O5" s="7">
        <f>COUNTIF(I4:I1006,"Série B")</f>
        <v>9</v>
      </c>
      <c r="P5" s="8" t="s">
        <v>95</v>
      </c>
      <c r="Q5" s="7">
        <f>COUNTIF(J4:J1004,"Arena Botafogo")</f>
        <v>8</v>
      </c>
      <c r="R5" s="21">
        <v>2005</v>
      </c>
      <c r="S5" s="7">
        <f>COUNTIF(E11:E17, "2005")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3">
        <f t="shared" ref="A6:A7" si="0">SUM(A5+1)</f>
        <v>4</v>
      </c>
      <c r="B6" s="43" t="s">
        <v>11</v>
      </c>
      <c r="C6" s="43" t="s">
        <v>15</v>
      </c>
      <c r="D6" s="1">
        <v>38227</v>
      </c>
      <c r="E6" s="14">
        <v>2004</v>
      </c>
      <c r="F6" s="1" t="s">
        <v>86</v>
      </c>
      <c r="G6" s="13">
        <v>1</v>
      </c>
      <c r="H6" s="15">
        <v>1</v>
      </c>
      <c r="I6" s="43" t="s">
        <v>38</v>
      </c>
      <c r="J6" s="43" t="s">
        <v>62</v>
      </c>
      <c r="K6" s="7" t="s">
        <v>49</v>
      </c>
      <c r="L6" s="5" t="s">
        <v>46</v>
      </c>
      <c r="M6" s="17">
        <f>COUNTIF(B4:B1006,"Grêmio")</f>
        <v>6</v>
      </c>
      <c r="N6" s="22" t="s">
        <v>43</v>
      </c>
      <c r="O6" s="49">
        <f>COUNTIF(I2:I1008,"Libertadores")</f>
        <v>7</v>
      </c>
      <c r="P6" s="60" t="s">
        <v>36</v>
      </c>
      <c r="Q6" s="17">
        <f>COUNTIF(J4:J1007,"São Januário")</f>
        <v>5</v>
      </c>
      <c r="R6" s="21">
        <v>2006</v>
      </c>
      <c r="S6" s="7">
        <f>COUNTIF(E18:E24, "2006")</f>
        <v>7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3">
        <f t="shared" si="0"/>
        <v>5</v>
      </c>
      <c r="B7" s="43" t="s">
        <v>30</v>
      </c>
      <c r="C7" s="43" t="s">
        <v>21</v>
      </c>
      <c r="D7" s="1">
        <v>38262</v>
      </c>
      <c r="E7" s="14">
        <v>2004</v>
      </c>
      <c r="F7" s="1" t="s">
        <v>20</v>
      </c>
      <c r="G7" s="13">
        <v>4</v>
      </c>
      <c r="H7" s="15">
        <v>1</v>
      </c>
      <c r="I7" s="43" t="s">
        <v>38</v>
      </c>
      <c r="J7" s="43" t="s">
        <v>23</v>
      </c>
      <c r="K7" s="7" t="s">
        <v>49</v>
      </c>
      <c r="L7" s="5" t="s">
        <v>53</v>
      </c>
      <c r="M7" s="17">
        <f>COUNTIF(B4:B1004,"Atlético Mineiro")</f>
        <v>5</v>
      </c>
      <c r="N7" s="8" t="s">
        <v>12</v>
      </c>
      <c r="O7" s="49">
        <f>COUNTIF(I4:I1010,"Copa do Brasil")</f>
        <v>6</v>
      </c>
      <c r="P7" s="60" t="s">
        <v>62</v>
      </c>
      <c r="Q7" s="17">
        <f>COUNTIF(J4:J1011,"Caio Martins")</f>
        <v>5</v>
      </c>
      <c r="R7" s="21">
        <v>2007</v>
      </c>
      <c r="S7" s="7">
        <f>COUNTIF(E25:E29, "2007")</f>
        <v>5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3">
        <f t="shared" ref="A8:A18" si="1">SUM(A7+1)</f>
        <v>6</v>
      </c>
      <c r="B8" s="43" t="s">
        <v>65</v>
      </c>
      <c r="C8" s="43" t="s">
        <v>21</v>
      </c>
      <c r="D8" s="1">
        <v>38304</v>
      </c>
      <c r="E8" s="14">
        <v>2004</v>
      </c>
      <c r="F8" s="1" t="s">
        <v>20</v>
      </c>
      <c r="G8" s="13">
        <v>4</v>
      </c>
      <c r="H8" s="15">
        <v>1</v>
      </c>
      <c r="I8" s="43" t="s">
        <v>38</v>
      </c>
      <c r="J8" s="43" t="s">
        <v>62</v>
      </c>
      <c r="K8" s="7" t="s">
        <v>49</v>
      </c>
      <c r="L8" s="5" t="s">
        <v>37</v>
      </c>
      <c r="M8" s="17">
        <f>COUNTIF(B4:B1004,"Boavista")</f>
        <v>3</v>
      </c>
      <c r="P8" s="5" t="s">
        <v>78</v>
      </c>
      <c r="Q8" s="17">
        <f>COUNTIF(J4:J1011,"Luso Brasileiro")</f>
        <v>4</v>
      </c>
      <c r="R8" s="21">
        <v>2008</v>
      </c>
      <c r="S8" s="7">
        <f>COUNTIF(E30:E33, "2008")</f>
        <v>4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3">
        <f t="shared" si="1"/>
        <v>7</v>
      </c>
      <c r="B9" s="43" t="s">
        <v>64</v>
      </c>
      <c r="C9" s="43" t="s">
        <v>31</v>
      </c>
      <c r="D9" s="1">
        <v>38318</v>
      </c>
      <c r="E9" s="14">
        <v>2004</v>
      </c>
      <c r="F9" s="1" t="s">
        <v>20</v>
      </c>
      <c r="G9" s="13">
        <v>1</v>
      </c>
      <c r="H9" s="15">
        <v>0</v>
      </c>
      <c r="I9" s="43" t="s">
        <v>38</v>
      </c>
      <c r="J9" s="43" t="s">
        <v>62</v>
      </c>
      <c r="K9" s="7" t="s">
        <v>49</v>
      </c>
      <c r="L9" s="5" t="s">
        <v>55</v>
      </c>
      <c r="M9" s="17">
        <f>COUNTIF(B4:B1007,"Internacional")</f>
        <v>3</v>
      </c>
      <c r="N9" s="36"/>
      <c r="O9" s="40"/>
      <c r="P9" s="22" t="s">
        <v>79</v>
      </c>
      <c r="Q9" s="49">
        <f>COUNTIF(J4:J1009,"Raulino de Oliveira")</f>
        <v>2</v>
      </c>
      <c r="R9" s="23">
        <v>2009</v>
      </c>
      <c r="S9" s="7">
        <f>COUNTIF(E34, "2009")</f>
        <v>1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3">
        <f t="shared" si="1"/>
        <v>8</v>
      </c>
      <c r="B10" s="43" t="s">
        <v>63</v>
      </c>
      <c r="C10" s="43" t="s">
        <v>25</v>
      </c>
      <c r="D10" s="1">
        <v>38333</v>
      </c>
      <c r="E10" s="14">
        <v>2004</v>
      </c>
      <c r="F10" s="1" t="s">
        <v>87</v>
      </c>
      <c r="G10" s="13">
        <v>1</v>
      </c>
      <c r="H10" s="15">
        <v>2</v>
      </c>
      <c r="I10" s="43" t="s">
        <v>38</v>
      </c>
      <c r="J10" s="43" t="s">
        <v>62</v>
      </c>
      <c r="K10" s="7" t="s">
        <v>49</v>
      </c>
      <c r="L10" s="5" t="s">
        <v>11</v>
      </c>
      <c r="M10" s="17">
        <f>COUNTIF(B4:B1005,"Criciúma")</f>
        <v>3</v>
      </c>
      <c r="N10" s="36"/>
      <c r="O10" s="40"/>
      <c r="P10" s="8" t="s">
        <v>80</v>
      </c>
      <c r="Q10" s="49">
        <f>COUNTIF(J4:J1009,"Mário Helênio")</f>
        <v>1</v>
      </c>
      <c r="R10" s="23">
        <v>2010</v>
      </c>
      <c r="S10" s="7">
        <f>COUNTIF(E35:E37, "2010")</f>
        <v>3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3">
        <f t="shared" si="1"/>
        <v>9</v>
      </c>
      <c r="B11" s="43" t="s">
        <v>104</v>
      </c>
      <c r="C11" s="43" t="s">
        <v>105</v>
      </c>
      <c r="D11" s="1">
        <v>38396</v>
      </c>
      <c r="E11" s="14">
        <v>2005</v>
      </c>
      <c r="F11" s="1" t="s">
        <v>87</v>
      </c>
      <c r="G11" s="13">
        <v>1</v>
      </c>
      <c r="H11" s="15">
        <v>2</v>
      </c>
      <c r="I11" s="43" t="s">
        <v>24</v>
      </c>
      <c r="J11" s="43" t="s">
        <v>23</v>
      </c>
      <c r="K11" s="7" t="s">
        <v>49</v>
      </c>
      <c r="L11" s="5" t="s">
        <v>34</v>
      </c>
      <c r="M11" s="17">
        <f>COUNTIF(B4:B1003,"Nova Iguaçu")</f>
        <v>3</v>
      </c>
      <c r="N11" s="36"/>
      <c r="O11" s="36"/>
      <c r="R11" s="23">
        <v>2011</v>
      </c>
      <c r="S11" s="7">
        <f>COUNTIF(E38:E41, "2011")</f>
        <v>4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3">
        <f t="shared" si="1"/>
        <v>10</v>
      </c>
      <c r="B12" s="43" t="s">
        <v>30</v>
      </c>
      <c r="C12" s="43" t="s">
        <v>61</v>
      </c>
      <c r="D12" s="1">
        <v>38406</v>
      </c>
      <c r="E12" s="15">
        <v>2005</v>
      </c>
      <c r="F12" s="1" t="s">
        <v>87</v>
      </c>
      <c r="G12" s="13">
        <v>0</v>
      </c>
      <c r="H12" s="15">
        <v>4</v>
      </c>
      <c r="I12" s="43" t="s">
        <v>24</v>
      </c>
      <c r="J12" s="43" t="s">
        <v>23</v>
      </c>
      <c r="K12" s="7" t="s">
        <v>49</v>
      </c>
      <c r="L12" s="5" t="s">
        <v>39</v>
      </c>
      <c r="M12" s="17">
        <f>COUNTIF(B4:B1013,"Palmeiras")</f>
        <v>4</v>
      </c>
      <c r="N12" s="36"/>
      <c r="O12" s="36"/>
      <c r="P12" s="36"/>
      <c r="Q12" s="36"/>
      <c r="R12" s="23">
        <v>2012</v>
      </c>
      <c r="S12" s="7">
        <f>COUNTIF(E42, "2012")</f>
        <v>1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3">
        <f t="shared" si="1"/>
        <v>11</v>
      </c>
      <c r="B13" s="43" t="s">
        <v>60</v>
      </c>
      <c r="C13" s="43" t="s">
        <v>19</v>
      </c>
      <c r="D13" s="1">
        <v>38501</v>
      </c>
      <c r="E13" s="15">
        <v>2005</v>
      </c>
      <c r="F13" s="1" t="s">
        <v>20</v>
      </c>
      <c r="G13" s="13">
        <v>2</v>
      </c>
      <c r="H13" s="15">
        <v>0</v>
      </c>
      <c r="I13" s="43" t="s">
        <v>38</v>
      </c>
      <c r="J13" s="2" t="s">
        <v>78</v>
      </c>
      <c r="K13" s="7" t="s">
        <v>49</v>
      </c>
      <c r="L13" s="5" t="s">
        <v>60</v>
      </c>
      <c r="M13" s="17">
        <f>COUNTIF(B4:B978,"Atlético Paranaense")</f>
        <v>3</v>
      </c>
      <c r="N13" s="36"/>
      <c r="O13" s="36"/>
      <c r="P13" s="36"/>
      <c r="Q13" s="36"/>
      <c r="R13" s="23">
        <v>2013</v>
      </c>
      <c r="S13" s="7">
        <f>COUNTIF(E43:E46, "2013")</f>
        <v>4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3">
        <f t="shared" si="1"/>
        <v>12</v>
      </c>
      <c r="B14" s="43" t="s">
        <v>56</v>
      </c>
      <c r="C14" s="43" t="s">
        <v>29</v>
      </c>
      <c r="D14" s="1">
        <v>38613</v>
      </c>
      <c r="E14" s="15">
        <v>2005</v>
      </c>
      <c r="F14" s="1" t="s">
        <v>20</v>
      </c>
      <c r="G14" s="13">
        <v>3</v>
      </c>
      <c r="H14" s="15">
        <v>1</v>
      </c>
      <c r="I14" s="43" t="s">
        <v>38</v>
      </c>
      <c r="J14" s="2" t="s">
        <v>78</v>
      </c>
      <c r="K14" s="7" t="s">
        <v>49</v>
      </c>
      <c r="L14" s="5" t="s">
        <v>40</v>
      </c>
      <c r="M14" s="17">
        <f>COUNTIF(B4:B1000,"Bahia")</f>
        <v>3</v>
      </c>
      <c r="N14" s="36"/>
      <c r="O14" s="36"/>
      <c r="P14" s="36"/>
      <c r="Q14" s="36"/>
      <c r="R14" s="23">
        <v>2014</v>
      </c>
      <c r="S14" s="7">
        <f>COUNTIF(E47:E53, "2014")</f>
        <v>7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3">
        <f t="shared" si="1"/>
        <v>13</v>
      </c>
      <c r="B15" s="43" t="s">
        <v>39</v>
      </c>
      <c r="C15" s="43" t="s">
        <v>25</v>
      </c>
      <c r="D15" s="1">
        <v>38633</v>
      </c>
      <c r="E15" s="15">
        <v>2005</v>
      </c>
      <c r="F15" s="1" t="s">
        <v>87</v>
      </c>
      <c r="G15" s="13">
        <v>1</v>
      </c>
      <c r="H15" s="15">
        <v>2</v>
      </c>
      <c r="I15" s="43" t="s">
        <v>38</v>
      </c>
      <c r="J15" s="2" t="s">
        <v>78</v>
      </c>
      <c r="K15" s="7" t="s">
        <v>49</v>
      </c>
      <c r="L15" s="5" t="s">
        <v>42</v>
      </c>
      <c r="M15" s="17">
        <f>COUNTIF(B4:B1000,"Chapecoense")</f>
        <v>3</v>
      </c>
      <c r="N15" s="36"/>
      <c r="O15" s="36"/>
      <c r="P15" s="36"/>
      <c r="Q15" s="36"/>
      <c r="R15" s="23">
        <v>2015</v>
      </c>
      <c r="S15" s="7">
        <f>COUNTIF(E54:E72, "2015")</f>
        <v>19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3">
        <f t="shared" si="1"/>
        <v>14</v>
      </c>
      <c r="B16" s="43" t="s">
        <v>59</v>
      </c>
      <c r="C16" s="43" t="s">
        <v>33</v>
      </c>
      <c r="D16" s="1">
        <v>38647</v>
      </c>
      <c r="E16" s="15">
        <v>2005</v>
      </c>
      <c r="F16" s="1" t="s">
        <v>20</v>
      </c>
      <c r="G16" s="13">
        <v>2</v>
      </c>
      <c r="H16" s="15">
        <v>1</v>
      </c>
      <c r="I16" s="43" t="s">
        <v>38</v>
      </c>
      <c r="J16" s="43" t="s">
        <v>23</v>
      </c>
      <c r="K16" s="7" t="s">
        <v>49</v>
      </c>
      <c r="L16" s="5" t="s">
        <v>65</v>
      </c>
      <c r="M16" s="17">
        <f>COUNTIF(B4:B999,"Coritiba")</f>
        <v>3</v>
      </c>
      <c r="N16" s="36"/>
      <c r="O16" s="36"/>
      <c r="P16" s="36"/>
      <c r="Q16" s="36"/>
      <c r="R16" s="23">
        <v>2016</v>
      </c>
      <c r="S16" s="7">
        <f>COUNTIF(E73:E86, "2016")</f>
        <v>14</v>
      </c>
      <c r="T16" s="36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3">
        <f t="shared" si="1"/>
        <v>15</v>
      </c>
      <c r="B17" s="43" t="s">
        <v>100</v>
      </c>
      <c r="C17" s="43" t="s">
        <v>19</v>
      </c>
      <c r="D17" s="1">
        <v>38668</v>
      </c>
      <c r="E17" s="15">
        <v>2005</v>
      </c>
      <c r="F17" s="1" t="s">
        <v>20</v>
      </c>
      <c r="G17" s="13">
        <v>2</v>
      </c>
      <c r="H17" s="15">
        <v>0</v>
      </c>
      <c r="I17" s="43" t="s">
        <v>38</v>
      </c>
      <c r="J17" s="43" t="s">
        <v>78</v>
      </c>
      <c r="K17" s="7" t="s">
        <v>49</v>
      </c>
      <c r="L17" s="5" t="s">
        <v>14</v>
      </c>
      <c r="M17" s="17">
        <f>COUNTIF(B4:B1006,"Figueirense")</f>
        <v>2</v>
      </c>
      <c r="N17" s="36"/>
      <c r="O17" s="36"/>
      <c r="P17" s="36"/>
      <c r="Q17" s="36"/>
      <c r="R17" s="34">
        <v>2017</v>
      </c>
      <c r="S17" s="49">
        <f>COUNTIF(E87:E124, "2017")</f>
        <v>38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3">
        <f t="shared" si="1"/>
        <v>16</v>
      </c>
      <c r="B18" s="43" t="s">
        <v>26</v>
      </c>
      <c r="C18" s="43" t="s">
        <v>58</v>
      </c>
      <c r="D18" s="1">
        <v>38739</v>
      </c>
      <c r="E18" s="15">
        <v>2006</v>
      </c>
      <c r="F18" s="1" t="s">
        <v>20</v>
      </c>
      <c r="G18" s="13">
        <v>5</v>
      </c>
      <c r="H18" s="15">
        <v>3</v>
      </c>
      <c r="I18" s="43" t="s">
        <v>24</v>
      </c>
      <c r="J18" s="43" t="s">
        <v>23</v>
      </c>
      <c r="K18" s="7" t="s">
        <v>49</v>
      </c>
      <c r="L18" s="5" t="s">
        <v>27</v>
      </c>
      <c r="M18" s="17">
        <f>COUNTIF(B4:B1009,"Madureira")</f>
        <v>2</v>
      </c>
      <c r="N18" s="36"/>
      <c r="O18" s="36"/>
      <c r="P18" s="36"/>
      <c r="Q18" s="36"/>
      <c r="R18" s="40">
        <v>2018</v>
      </c>
      <c r="S18" s="49">
        <f>COUNTIF(E125:E160, "2018")</f>
        <v>2</v>
      </c>
      <c r="T18" s="41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3">
        <f t="shared" ref="A19:A24" si="2">SUM(A18+1)</f>
        <v>17</v>
      </c>
      <c r="B19" s="43" t="s">
        <v>34</v>
      </c>
      <c r="C19" s="43" t="s">
        <v>15</v>
      </c>
      <c r="D19" s="1">
        <v>38767</v>
      </c>
      <c r="E19" s="15">
        <v>2006</v>
      </c>
      <c r="F19" s="1" t="s">
        <v>86</v>
      </c>
      <c r="G19" s="13">
        <v>1</v>
      </c>
      <c r="H19" s="15">
        <v>1</v>
      </c>
      <c r="I19" s="43" t="s">
        <v>24</v>
      </c>
      <c r="J19" s="43" t="s">
        <v>23</v>
      </c>
      <c r="K19" s="7" t="s">
        <v>49</v>
      </c>
      <c r="L19" s="5" t="s">
        <v>54</v>
      </c>
      <c r="M19" s="17">
        <f>COUNTIF(B4:B1007,"Náutico")</f>
        <v>2</v>
      </c>
      <c r="N19" s="36"/>
      <c r="O19" s="36"/>
      <c r="P19" s="36"/>
      <c r="Q19" s="36"/>
      <c r="R19" s="36"/>
      <c r="S19" s="54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3">
        <f t="shared" si="2"/>
        <v>18</v>
      </c>
      <c r="B20" s="43" t="s">
        <v>27</v>
      </c>
      <c r="C20" s="43" t="s">
        <v>29</v>
      </c>
      <c r="D20" s="1">
        <v>38816</v>
      </c>
      <c r="E20" s="15">
        <v>2006</v>
      </c>
      <c r="F20" s="1" t="s">
        <v>20</v>
      </c>
      <c r="G20" s="13">
        <v>3</v>
      </c>
      <c r="H20" s="15">
        <v>1</v>
      </c>
      <c r="I20" s="43" t="s">
        <v>24</v>
      </c>
      <c r="J20" s="43" t="s">
        <v>23</v>
      </c>
      <c r="K20" s="7" t="s">
        <v>49</v>
      </c>
      <c r="L20" s="5" t="s">
        <v>5</v>
      </c>
      <c r="M20" s="17">
        <f>COUNTIF(B4:B1004,"Santa Cruz")</f>
        <v>2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3">
        <f t="shared" si="2"/>
        <v>19</v>
      </c>
      <c r="B21" s="43" t="s">
        <v>46</v>
      </c>
      <c r="C21" s="43" t="s">
        <v>47</v>
      </c>
      <c r="D21" s="1">
        <v>38850</v>
      </c>
      <c r="E21" s="15">
        <v>2006</v>
      </c>
      <c r="F21" s="1" t="s">
        <v>86</v>
      </c>
      <c r="G21" s="13">
        <v>2</v>
      </c>
      <c r="H21" s="15">
        <v>2</v>
      </c>
      <c r="I21" s="43" t="s">
        <v>38</v>
      </c>
      <c r="J21" s="43" t="s">
        <v>23</v>
      </c>
      <c r="K21" s="7" t="s">
        <v>49</v>
      </c>
      <c r="L21" s="5" t="s">
        <v>20</v>
      </c>
      <c r="M21" s="17">
        <f>COUNTIF(B4:B1008,"Vitória")</f>
        <v>3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3">
        <f t="shared" si="2"/>
        <v>20</v>
      </c>
      <c r="B22" s="43" t="s">
        <v>41</v>
      </c>
      <c r="C22" s="43" t="s">
        <v>57</v>
      </c>
      <c r="D22" s="1">
        <v>39004</v>
      </c>
      <c r="E22" s="15">
        <v>2006</v>
      </c>
      <c r="F22" s="1" t="s">
        <v>20</v>
      </c>
      <c r="G22" s="13">
        <v>4</v>
      </c>
      <c r="H22" s="15">
        <v>3</v>
      </c>
      <c r="I22" s="43" t="s">
        <v>38</v>
      </c>
      <c r="J22" s="43" t="s">
        <v>23</v>
      </c>
      <c r="K22" s="7" t="s">
        <v>49</v>
      </c>
      <c r="L22" s="5" t="s">
        <v>52</v>
      </c>
      <c r="M22" s="17">
        <f>COUNTIF(B4:B1004,"Volta Redonda")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3">
        <f t="shared" si="2"/>
        <v>21</v>
      </c>
      <c r="B23" s="43" t="s">
        <v>55</v>
      </c>
      <c r="C23" s="43" t="s">
        <v>13</v>
      </c>
      <c r="D23" s="1">
        <v>39023</v>
      </c>
      <c r="E23" s="15">
        <v>2006</v>
      </c>
      <c r="F23" s="1" t="s">
        <v>87</v>
      </c>
      <c r="G23" s="13">
        <v>0</v>
      </c>
      <c r="H23" s="15">
        <v>1</v>
      </c>
      <c r="I23" s="43" t="s">
        <v>38</v>
      </c>
      <c r="J23" s="43" t="s">
        <v>23</v>
      </c>
      <c r="K23" s="7" t="s">
        <v>49</v>
      </c>
      <c r="L23" s="5" t="s">
        <v>56</v>
      </c>
      <c r="M23" s="17">
        <f>COUNTIF(B4:B1017,"Goiás")</f>
        <v>2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3">
        <f t="shared" si="2"/>
        <v>22</v>
      </c>
      <c r="B24" s="43" t="s">
        <v>56</v>
      </c>
      <c r="C24" s="43" t="s">
        <v>47</v>
      </c>
      <c r="D24" s="1">
        <v>39040</v>
      </c>
      <c r="E24" s="15">
        <v>2006</v>
      </c>
      <c r="F24" s="1" t="s">
        <v>86</v>
      </c>
      <c r="G24" s="13">
        <v>2</v>
      </c>
      <c r="H24" s="15">
        <v>2</v>
      </c>
      <c r="I24" s="43" t="s">
        <v>38</v>
      </c>
      <c r="J24" s="43" t="s">
        <v>23</v>
      </c>
      <c r="K24" s="7" t="s">
        <v>49</v>
      </c>
      <c r="L24" s="5" t="s">
        <v>41</v>
      </c>
      <c r="M24" s="17">
        <f>COUNTIF(B4:B1014,"Santos")</f>
        <v>3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3">
        <f t="shared" ref="A25:A39" si="3">SUM(A24+1)</f>
        <v>23</v>
      </c>
      <c r="B25" s="43" t="s">
        <v>14</v>
      </c>
      <c r="C25" s="43" t="s">
        <v>29</v>
      </c>
      <c r="D25" s="1">
        <v>39225</v>
      </c>
      <c r="E25" s="15">
        <v>2007</v>
      </c>
      <c r="F25" s="1" t="s">
        <v>20</v>
      </c>
      <c r="G25" s="13">
        <v>3</v>
      </c>
      <c r="H25" s="15">
        <v>1</v>
      </c>
      <c r="I25" s="43" t="s">
        <v>12</v>
      </c>
      <c r="J25" s="43" t="s">
        <v>23</v>
      </c>
      <c r="K25" s="7" t="s">
        <v>49</v>
      </c>
      <c r="L25" s="5" t="s">
        <v>3</v>
      </c>
      <c r="M25" s="17">
        <f>COUNTIF(B4:B996,"América-MG")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3">
        <f t="shared" si="3"/>
        <v>24</v>
      </c>
      <c r="B26" s="43" t="s">
        <v>46</v>
      </c>
      <c r="C26" s="43" t="s">
        <v>17</v>
      </c>
      <c r="D26" s="1">
        <v>39235</v>
      </c>
      <c r="E26" s="15">
        <v>2007</v>
      </c>
      <c r="F26" s="1" t="s">
        <v>20</v>
      </c>
      <c r="G26" s="13">
        <v>3</v>
      </c>
      <c r="H26" s="15">
        <v>0</v>
      </c>
      <c r="I26" s="43" t="s">
        <v>38</v>
      </c>
      <c r="J26" s="43" t="s">
        <v>23</v>
      </c>
      <c r="K26" s="7" t="s">
        <v>49</v>
      </c>
      <c r="L26" s="5" t="s">
        <v>104</v>
      </c>
      <c r="M26" s="17">
        <f>COUNTIF(B4:B1023,"Americano")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3">
        <f t="shared" si="3"/>
        <v>25</v>
      </c>
      <c r="B27" s="43" t="s">
        <v>54</v>
      </c>
      <c r="C27" s="43" t="s">
        <v>29</v>
      </c>
      <c r="D27" s="1">
        <v>39250</v>
      </c>
      <c r="E27" s="15">
        <v>2007</v>
      </c>
      <c r="F27" s="1" t="s">
        <v>20</v>
      </c>
      <c r="G27" s="13">
        <v>3</v>
      </c>
      <c r="H27" s="15">
        <v>1</v>
      </c>
      <c r="I27" s="43" t="s">
        <v>38</v>
      </c>
      <c r="J27" s="43" t="s">
        <v>23</v>
      </c>
      <c r="K27" s="7" t="s">
        <v>49</v>
      </c>
      <c r="L27" s="5" t="s">
        <v>16</v>
      </c>
      <c r="M27" s="17">
        <f>COUNTIF(B4:B1001,"Boa Esporte")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3">
        <f t="shared" si="3"/>
        <v>26</v>
      </c>
      <c r="B28" s="43" t="s">
        <v>55</v>
      </c>
      <c r="C28" s="43" t="s">
        <v>15</v>
      </c>
      <c r="D28" s="1">
        <v>39313</v>
      </c>
      <c r="E28" s="15">
        <v>2007</v>
      </c>
      <c r="F28" s="1" t="s">
        <v>86</v>
      </c>
      <c r="G28" s="13">
        <v>1</v>
      </c>
      <c r="H28" s="15">
        <v>1</v>
      </c>
      <c r="I28" s="43" t="s">
        <v>38</v>
      </c>
      <c r="J28" s="43" t="s">
        <v>23</v>
      </c>
      <c r="K28" s="7" t="s">
        <v>49</v>
      </c>
      <c r="L28" s="5" t="s">
        <v>35</v>
      </c>
      <c r="M28" s="17">
        <f>COUNTIF(B4:B1006,"Bonsucesso")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3">
        <f t="shared" si="3"/>
        <v>27</v>
      </c>
      <c r="B29" s="25" t="s">
        <v>30</v>
      </c>
      <c r="C29" s="25" t="s">
        <v>50</v>
      </c>
      <c r="D29" s="27">
        <v>39348</v>
      </c>
      <c r="E29" s="26">
        <v>2007</v>
      </c>
      <c r="F29" s="31" t="s">
        <v>87</v>
      </c>
      <c r="G29" s="32">
        <v>0</v>
      </c>
      <c r="H29" s="26">
        <v>2</v>
      </c>
      <c r="I29" s="25" t="s">
        <v>38</v>
      </c>
      <c r="J29" s="25" t="s">
        <v>23</v>
      </c>
      <c r="K29" s="30" t="s">
        <v>49</v>
      </c>
      <c r="L29" s="5" t="s">
        <v>7</v>
      </c>
      <c r="M29" s="17">
        <f>COUNTIF(B4:B1001,"Bragantino")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3">
        <f t="shared" si="3"/>
        <v>28</v>
      </c>
      <c r="B30" s="43" t="s">
        <v>30</v>
      </c>
      <c r="C30" s="43" t="s">
        <v>29</v>
      </c>
      <c r="D30" s="1">
        <v>39537</v>
      </c>
      <c r="E30" s="15">
        <v>2008</v>
      </c>
      <c r="F30" s="1" t="s">
        <v>20</v>
      </c>
      <c r="G30" s="13">
        <v>3</v>
      </c>
      <c r="H30" s="15">
        <v>1</v>
      </c>
      <c r="I30" s="43" t="s">
        <v>24</v>
      </c>
      <c r="J30" s="43" t="s">
        <v>23</v>
      </c>
      <c r="K30" s="7" t="s">
        <v>49</v>
      </c>
      <c r="L30" s="5" t="s">
        <v>48</v>
      </c>
      <c r="M30" s="17">
        <f>COUNTIF(B4:B1011,"Ceará")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3">
        <f t="shared" si="3"/>
        <v>29</v>
      </c>
      <c r="B31" s="43" t="s">
        <v>53</v>
      </c>
      <c r="C31" s="43" t="s">
        <v>19</v>
      </c>
      <c r="D31" s="1">
        <v>39582</v>
      </c>
      <c r="E31" s="15">
        <v>2008</v>
      </c>
      <c r="F31" s="1" t="s">
        <v>20</v>
      </c>
      <c r="G31" s="13">
        <v>2</v>
      </c>
      <c r="H31" s="15">
        <v>0</v>
      </c>
      <c r="I31" s="43" t="s">
        <v>12</v>
      </c>
      <c r="J31" s="43" t="s">
        <v>1</v>
      </c>
      <c r="K31" s="7" t="s">
        <v>49</v>
      </c>
      <c r="L31" s="5" t="s">
        <v>101</v>
      </c>
      <c r="M31" s="17">
        <f>COUNTIF(B4:B993,"Colo-Colo")</f>
        <v>1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3">
        <f t="shared" si="3"/>
        <v>30</v>
      </c>
      <c r="B32" s="43" t="s">
        <v>26</v>
      </c>
      <c r="C32" s="43" t="s">
        <v>15</v>
      </c>
      <c r="D32" s="1">
        <v>39593</v>
      </c>
      <c r="E32" s="15">
        <v>2008</v>
      </c>
      <c r="F32" s="1" t="s">
        <v>86</v>
      </c>
      <c r="G32" s="13">
        <v>1</v>
      </c>
      <c r="H32" s="15">
        <v>1</v>
      </c>
      <c r="I32" s="43" t="s">
        <v>38</v>
      </c>
      <c r="J32" s="43" t="s">
        <v>1</v>
      </c>
      <c r="K32" s="7" t="s">
        <v>49</v>
      </c>
      <c r="L32" s="5" t="s">
        <v>63</v>
      </c>
      <c r="M32" s="17">
        <f>COUNTIF(B4:B998,"Corinthians")</f>
        <v>2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3">
        <f t="shared" si="3"/>
        <v>31</v>
      </c>
      <c r="B33" s="43" t="s">
        <v>54</v>
      </c>
      <c r="C33" s="43" t="s">
        <v>15</v>
      </c>
      <c r="D33" s="1">
        <v>39690</v>
      </c>
      <c r="E33" s="15">
        <v>2008</v>
      </c>
      <c r="F33" s="1" t="s">
        <v>86</v>
      </c>
      <c r="G33" s="13">
        <v>1</v>
      </c>
      <c r="H33" s="15">
        <v>1</v>
      </c>
      <c r="I33" s="43" t="s">
        <v>38</v>
      </c>
      <c r="J33" s="43" t="s">
        <v>1</v>
      </c>
      <c r="K33" s="7" t="s">
        <v>49</v>
      </c>
      <c r="L33" s="5" t="s">
        <v>22</v>
      </c>
      <c r="M33" s="17">
        <f>COUNTIF(B4:B1009,"CRB")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3">
        <f t="shared" si="3"/>
        <v>32</v>
      </c>
      <c r="B34" s="43" t="s">
        <v>30</v>
      </c>
      <c r="C34" s="43" t="s">
        <v>25</v>
      </c>
      <c r="D34" s="1">
        <v>39900</v>
      </c>
      <c r="E34" s="15">
        <v>2009</v>
      </c>
      <c r="F34" s="1" t="s">
        <v>87</v>
      </c>
      <c r="G34" s="13">
        <v>1</v>
      </c>
      <c r="H34" s="15">
        <v>2</v>
      </c>
      <c r="I34" s="43" t="s">
        <v>24</v>
      </c>
      <c r="J34" s="43" t="s">
        <v>23</v>
      </c>
      <c r="K34" s="7" t="s">
        <v>49</v>
      </c>
      <c r="L34" s="5" t="s">
        <v>45</v>
      </c>
      <c r="M34" s="17">
        <f>COUNTIF(B4:B1014,"Deportivo Quito")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3">
        <f t="shared" si="3"/>
        <v>33</v>
      </c>
      <c r="B35" s="43" t="s">
        <v>37</v>
      </c>
      <c r="C35" s="43" t="s">
        <v>21</v>
      </c>
      <c r="D35" s="1">
        <v>40266</v>
      </c>
      <c r="E35" s="15">
        <v>2010</v>
      </c>
      <c r="F35" s="1" t="s">
        <v>20</v>
      </c>
      <c r="G35" s="13">
        <v>4</v>
      </c>
      <c r="H35" s="15">
        <v>1</v>
      </c>
      <c r="I35" s="43" t="s">
        <v>24</v>
      </c>
      <c r="J35" s="43" t="s">
        <v>36</v>
      </c>
      <c r="K35" s="7" t="s">
        <v>49</v>
      </c>
      <c r="L35" s="5" t="s">
        <v>64</v>
      </c>
      <c r="M35" s="17">
        <f>COUNTIF(B4:B1002,"Guarani")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3">
        <f t="shared" si="3"/>
        <v>34</v>
      </c>
      <c r="B36" s="43" t="s">
        <v>53</v>
      </c>
      <c r="C36" s="43" t="s">
        <v>17</v>
      </c>
      <c r="D36" s="1">
        <v>40397</v>
      </c>
      <c r="E36" s="15">
        <v>2010</v>
      </c>
      <c r="F36" s="1" t="s">
        <v>20</v>
      </c>
      <c r="G36" s="13">
        <v>3</v>
      </c>
      <c r="H36" s="15">
        <v>0</v>
      </c>
      <c r="I36" s="43" t="s">
        <v>38</v>
      </c>
      <c r="J36" s="43" t="s">
        <v>1</v>
      </c>
      <c r="K36" s="7" t="s">
        <v>49</v>
      </c>
      <c r="L36" s="5" t="s">
        <v>44</v>
      </c>
      <c r="M36" s="17">
        <f>COUNTIF(B4:B1015,"Independiente Del Valle")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3">
        <f t="shared" si="3"/>
        <v>35</v>
      </c>
      <c r="B37" s="43" t="s">
        <v>20</v>
      </c>
      <c r="C37" s="43" t="s">
        <v>31</v>
      </c>
      <c r="D37" s="1">
        <v>40474</v>
      </c>
      <c r="E37" s="15">
        <v>2010</v>
      </c>
      <c r="F37" s="1" t="s">
        <v>20</v>
      </c>
      <c r="G37" s="13">
        <v>1</v>
      </c>
      <c r="H37" s="15">
        <v>0</v>
      </c>
      <c r="I37" s="43" t="s">
        <v>38</v>
      </c>
      <c r="J37" s="43" t="s">
        <v>1</v>
      </c>
      <c r="K37" s="7" t="s">
        <v>49</v>
      </c>
      <c r="L37" s="5" t="s">
        <v>102</v>
      </c>
      <c r="M37" s="17">
        <f>COUNTIF(B4:B998,"Macaé")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3">
        <f t="shared" si="3"/>
        <v>36</v>
      </c>
      <c r="B38" s="43" t="s">
        <v>52</v>
      </c>
      <c r="C38" s="43" t="s">
        <v>51</v>
      </c>
      <c r="D38" s="1">
        <v>40607</v>
      </c>
      <c r="E38" s="15">
        <v>2011</v>
      </c>
      <c r="F38" s="1" t="s">
        <v>20</v>
      </c>
      <c r="G38" s="13">
        <v>4</v>
      </c>
      <c r="H38" s="15">
        <v>2</v>
      </c>
      <c r="I38" s="43" t="s">
        <v>24</v>
      </c>
      <c r="J38" s="43" t="s">
        <v>1</v>
      </c>
      <c r="K38" s="7" t="s">
        <v>49</v>
      </c>
      <c r="L38" s="5" t="s">
        <v>18</v>
      </c>
      <c r="M38" s="17">
        <f>COUNTIF(B4:B1013,"Mogi Mirim")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3">
        <f t="shared" si="3"/>
        <v>37</v>
      </c>
      <c r="B39" s="43" t="s">
        <v>26</v>
      </c>
      <c r="C39" s="43" t="s">
        <v>50</v>
      </c>
      <c r="D39" s="1">
        <v>40622</v>
      </c>
      <c r="E39" s="15">
        <v>2011</v>
      </c>
      <c r="F39" s="1" t="s">
        <v>87</v>
      </c>
      <c r="G39" s="13">
        <v>0</v>
      </c>
      <c r="H39" s="15">
        <v>2</v>
      </c>
      <c r="I39" s="43" t="s">
        <v>24</v>
      </c>
      <c r="J39" s="43" t="s">
        <v>1</v>
      </c>
      <c r="K39" s="7" t="s">
        <v>49</v>
      </c>
      <c r="L39" s="5" t="s">
        <v>103</v>
      </c>
      <c r="M39" s="17">
        <f>COUNTIF(B4:B999,"Olimpia")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3">
        <f t="shared" ref="A40:A109" si="4">SUM(A39+1)</f>
        <v>38</v>
      </c>
      <c r="B40" s="43" t="s">
        <v>48</v>
      </c>
      <c r="C40" s="43" t="s">
        <v>6</v>
      </c>
      <c r="D40" s="1">
        <v>40793</v>
      </c>
      <c r="E40" s="15">
        <v>2011</v>
      </c>
      <c r="F40" s="1" t="s">
        <v>20</v>
      </c>
      <c r="G40" s="13">
        <v>4</v>
      </c>
      <c r="H40" s="15">
        <v>0</v>
      </c>
      <c r="I40" s="43" t="s">
        <v>38</v>
      </c>
      <c r="J40" s="43" t="s">
        <v>1</v>
      </c>
      <c r="K40" s="7" t="s">
        <v>0</v>
      </c>
      <c r="L40" s="5" t="s">
        <v>9</v>
      </c>
      <c r="M40" s="17">
        <f>COUNTIF(B4:B1013,"Paysandu")</f>
        <v>1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3">
        <f t="shared" si="4"/>
        <v>39</v>
      </c>
      <c r="B41" s="43" t="s">
        <v>40</v>
      </c>
      <c r="C41" s="43" t="s">
        <v>47</v>
      </c>
      <c r="D41" s="1">
        <v>40824</v>
      </c>
      <c r="E41" s="15">
        <v>2011</v>
      </c>
      <c r="F41" s="1" t="s">
        <v>86</v>
      </c>
      <c r="G41" s="13">
        <v>2</v>
      </c>
      <c r="H41" s="15">
        <v>2</v>
      </c>
      <c r="I41" s="43" t="s">
        <v>38</v>
      </c>
      <c r="J41" s="43" t="s">
        <v>36</v>
      </c>
      <c r="K41" s="7" t="s">
        <v>0</v>
      </c>
      <c r="L41" s="5" t="s">
        <v>97</v>
      </c>
      <c r="M41" s="17">
        <f>COUNTIF(B4:B1009,"Ponte Preta")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3">
        <f t="shared" si="4"/>
        <v>40</v>
      </c>
      <c r="B42" s="43" t="s">
        <v>26</v>
      </c>
      <c r="C42" s="43" t="s">
        <v>29</v>
      </c>
      <c r="D42" s="1">
        <v>41028</v>
      </c>
      <c r="E42" s="15">
        <v>2012</v>
      </c>
      <c r="F42" s="1" t="s">
        <v>20</v>
      </c>
      <c r="G42" s="13">
        <v>3</v>
      </c>
      <c r="H42" s="15">
        <v>1</v>
      </c>
      <c r="I42" s="43" t="s">
        <v>24</v>
      </c>
      <c r="J42" s="43" t="s">
        <v>1</v>
      </c>
      <c r="K42" s="7" t="s">
        <v>0</v>
      </c>
      <c r="L42" s="5" t="s">
        <v>74</v>
      </c>
      <c r="M42" s="17">
        <f>COUNTIF(B4:B1012,"Portuguesa-RJ")</f>
        <v>2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3">
        <f t="shared" si="4"/>
        <v>41</v>
      </c>
      <c r="B43" s="43" t="s">
        <v>32</v>
      </c>
      <c r="C43" s="43" t="s">
        <v>13</v>
      </c>
      <c r="D43" s="1">
        <v>41322</v>
      </c>
      <c r="E43" s="15">
        <v>2013</v>
      </c>
      <c r="F43" s="1" t="s">
        <v>87</v>
      </c>
      <c r="G43" s="13">
        <v>0</v>
      </c>
      <c r="H43" s="15">
        <v>1</v>
      </c>
      <c r="I43" s="43" t="s">
        <v>24</v>
      </c>
      <c r="J43" s="43" t="s">
        <v>1</v>
      </c>
      <c r="K43" s="7" t="s">
        <v>0</v>
      </c>
      <c r="L43" s="8" t="s">
        <v>28</v>
      </c>
      <c r="M43" s="7">
        <f>COUNTIF(B4:B1020,"Resende")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3">
        <f t="shared" si="4"/>
        <v>42</v>
      </c>
      <c r="B44" s="43" t="s">
        <v>30</v>
      </c>
      <c r="C44" s="43" t="s">
        <v>31</v>
      </c>
      <c r="D44" s="1">
        <v>41399</v>
      </c>
      <c r="E44" s="15">
        <v>2013</v>
      </c>
      <c r="F44" s="1" t="s">
        <v>20</v>
      </c>
      <c r="G44" s="13">
        <v>1</v>
      </c>
      <c r="H44" s="15">
        <v>0</v>
      </c>
      <c r="I44" s="43" t="s">
        <v>24</v>
      </c>
      <c r="J44" s="2" t="s">
        <v>79</v>
      </c>
      <c r="K44" s="7" t="s">
        <v>0</v>
      </c>
      <c r="L44" s="29" t="s">
        <v>59</v>
      </c>
      <c r="M44" s="33">
        <f>COUNTIF(B4:B1008,"São Caetano")</f>
        <v>1</v>
      </c>
      <c r="N44" s="36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3">
        <f t="shared" si="4"/>
        <v>43</v>
      </c>
      <c r="B45" s="43" t="s">
        <v>46</v>
      </c>
      <c r="C45" s="43" t="s">
        <v>13</v>
      </c>
      <c r="D45" s="1">
        <v>41552</v>
      </c>
      <c r="E45" s="15">
        <v>2013</v>
      </c>
      <c r="F45" s="1" t="s">
        <v>87</v>
      </c>
      <c r="G45" s="13">
        <v>0</v>
      </c>
      <c r="H45" s="15">
        <v>1</v>
      </c>
      <c r="I45" s="43" t="s">
        <v>38</v>
      </c>
      <c r="J45" s="43" t="s">
        <v>23</v>
      </c>
      <c r="K45" s="7" t="s">
        <v>0</v>
      </c>
      <c r="L45" s="28" t="s">
        <v>81</v>
      </c>
      <c r="M45" s="50">
        <f>COUNTIF(B4:B1014,"São Paulo")</f>
        <v>2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3">
        <f t="shared" si="4"/>
        <v>44</v>
      </c>
      <c r="B46" s="43" t="s">
        <v>11</v>
      </c>
      <c r="C46" s="43" t="s">
        <v>17</v>
      </c>
      <c r="D46" s="1">
        <v>41616</v>
      </c>
      <c r="E46" s="15">
        <v>2013</v>
      </c>
      <c r="F46" s="1" t="s">
        <v>20</v>
      </c>
      <c r="G46" s="13">
        <v>3</v>
      </c>
      <c r="H46" s="15">
        <v>0</v>
      </c>
      <c r="I46" s="43" t="s">
        <v>38</v>
      </c>
      <c r="J46" s="43" t="s">
        <v>23</v>
      </c>
      <c r="K46" s="7" t="s">
        <v>0</v>
      </c>
      <c r="L46" s="8" t="s">
        <v>100</v>
      </c>
      <c r="M46" s="50">
        <f>COUNTIF(B4:B1038,"Paraná")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3">
        <f t="shared" si="4"/>
        <v>45</v>
      </c>
      <c r="B47" s="43" t="s">
        <v>45</v>
      </c>
      <c r="C47" s="43" t="s">
        <v>6</v>
      </c>
      <c r="D47" s="1">
        <v>41675</v>
      </c>
      <c r="E47" s="15">
        <v>2014</v>
      </c>
      <c r="F47" s="1" t="s">
        <v>20</v>
      </c>
      <c r="G47" s="13">
        <v>4</v>
      </c>
      <c r="H47" s="15">
        <v>0</v>
      </c>
      <c r="I47" s="43" t="s">
        <v>43</v>
      </c>
      <c r="J47" s="43" t="s">
        <v>23</v>
      </c>
      <c r="K47" s="7" t="s">
        <v>0</v>
      </c>
      <c r="L47" s="65" t="s">
        <v>111</v>
      </c>
      <c r="M47" s="50">
        <f>COUNTIF(B4:B1038,"Avaí")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3">
        <f t="shared" si="4"/>
        <v>46</v>
      </c>
      <c r="B48" s="43" t="s">
        <v>44</v>
      </c>
      <c r="C48" s="43" t="s">
        <v>31</v>
      </c>
      <c r="D48" s="1">
        <v>41716</v>
      </c>
      <c r="E48" s="15">
        <v>2014</v>
      </c>
      <c r="F48" s="1" t="s">
        <v>20</v>
      </c>
      <c r="G48" s="13">
        <v>1</v>
      </c>
      <c r="H48" s="15">
        <v>0</v>
      </c>
      <c r="I48" s="43" t="s">
        <v>43</v>
      </c>
      <c r="J48" s="43" t="s">
        <v>23</v>
      </c>
      <c r="K48" s="7" t="s">
        <v>0</v>
      </c>
      <c r="L48" s="65" t="s">
        <v>113</v>
      </c>
      <c r="M48" s="50">
        <f>COUNTIF(B4:B1001,"Nacional-URU")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2">
        <f t="shared" si="4"/>
        <v>47</v>
      </c>
      <c r="B49" s="43" t="s">
        <v>32</v>
      </c>
      <c r="C49" s="43" t="s">
        <v>13</v>
      </c>
      <c r="D49" s="1">
        <v>41847</v>
      </c>
      <c r="E49" s="15">
        <v>2014</v>
      </c>
      <c r="F49" s="1" t="s">
        <v>87</v>
      </c>
      <c r="G49" s="13">
        <v>0</v>
      </c>
      <c r="H49" s="15">
        <v>1</v>
      </c>
      <c r="I49" s="43" t="s">
        <v>38</v>
      </c>
      <c r="J49" s="43" t="s">
        <v>23</v>
      </c>
      <c r="K49" s="7" t="s">
        <v>0</v>
      </c>
      <c r="L49" s="65" t="s">
        <v>114</v>
      </c>
      <c r="M49" s="50">
        <f>COUNTIF(B5:B1002,"Atlético Goianiense")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3">
        <f t="shared" si="4"/>
        <v>48</v>
      </c>
      <c r="B50" s="43" t="s">
        <v>42</v>
      </c>
      <c r="C50" s="43" t="s">
        <v>31</v>
      </c>
      <c r="D50" s="1">
        <v>41874</v>
      </c>
      <c r="E50" s="15">
        <v>2014</v>
      </c>
      <c r="F50" s="1" t="s">
        <v>20</v>
      </c>
      <c r="G50" s="13">
        <v>1</v>
      </c>
      <c r="H50" s="15">
        <v>0</v>
      </c>
      <c r="I50" s="43" t="s">
        <v>38</v>
      </c>
      <c r="J50" s="43" t="s">
        <v>23</v>
      </c>
      <c r="K50" s="7" t="s">
        <v>0</v>
      </c>
      <c r="L50" s="65" t="s">
        <v>115</v>
      </c>
      <c r="M50" s="50">
        <f>COUNTIF(B6:B1003,"Cruzeiro")</f>
        <v>1</v>
      </c>
      <c r="N50" s="41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3">
        <f t="shared" si="4"/>
        <v>49</v>
      </c>
      <c r="B51" s="43" t="s">
        <v>41</v>
      </c>
      <c r="C51" s="43" t="s">
        <v>31</v>
      </c>
      <c r="D51" s="1">
        <v>41882</v>
      </c>
      <c r="E51" s="15">
        <v>2014</v>
      </c>
      <c r="F51" s="1" t="s">
        <v>20</v>
      </c>
      <c r="G51" s="13">
        <v>1</v>
      </c>
      <c r="H51" s="15">
        <v>0</v>
      </c>
      <c r="I51" s="43" t="s">
        <v>38</v>
      </c>
      <c r="J51" s="43" t="s">
        <v>23</v>
      </c>
      <c r="K51" s="7" t="s">
        <v>0</v>
      </c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3">
        <f t="shared" si="4"/>
        <v>50</v>
      </c>
      <c r="B52" s="42" t="s">
        <v>40</v>
      </c>
      <c r="C52" s="42" t="s">
        <v>8</v>
      </c>
      <c r="D52" s="18">
        <v>41899</v>
      </c>
      <c r="E52" s="20">
        <v>2014</v>
      </c>
      <c r="F52" s="18" t="s">
        <v>87</v>
      </c>
      <c r="G52" s="19">
        <v>2</v>
      </c>
      <c r="H52" s="20">
        <v>3</v>
      </c>
      <c r="I52" s="42" t="s">
        <v>38</v>
      </c>
      <c r="J52" s="42" t="s">
        <v>23</v>
      </c>
      <c r="K52" s="11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3">
        <f t="shared" si="4"/>
        <v>51</v>
      </c>
      <c r="B53" s="43" t="s">
        <v>39</v>
      </c>
      <c r="C53" s="43" t="s">
        <v>13</v>
      </c>
      <c r="D53" s="1">
        <v>41920</v>
      </c>
      <c r="E53" s="15">
        <v>2014</v>
      </c>
      <c r="F53" s="1" t="s">
        <v>87</v>
      </c>
      <c r="G53" s="13">
        <v>0</v>
      </c>
      <c r="H53" s="15">
        <v>1</v>
      </c>
      <c r="I53" s="43" t="s">
        <v>38</v>
      </c>
      <c r="J53" s="43" t="s">
        <v>23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3">
        <f t="shared" si="4"/>
        <v>52</v>
      </c>
      <c r="B54" s="43" t="s">
        <v>37</v>
      </c>
      <c r="C54" s="43" t="s">
        <v>31</v>
      </c>
      <c r="D54" s="1">
        <v>42035</v>
      </c>
      <c r="E54" s="15">
        <v>2015</v>
      </c>
      <c r="F54" s="1" t="s">
        <v>20</v>
      </c>
      <c r="G54" s="13">
        <v>1</v>
      </c>
      <c r="H54" s="15">
        <v>0</v>
      </c>
      <c r="I54" s="43" t="s">
        <v>24</v>
      </c>
      <c r="J54" s="43" t="s">
        <v>36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3">
        <f t="shared" si="4"/>
        <v>53</v>
      </c>
      <c r="B55" s="43" t="s">
        <v>35</v>
      </c>
      <c r="C55" s="43" t="s">
        <v>6</v>
      </c>
      <c r="D55" s="1">
        <v>42042</v>
      </c>
      <c r="E55" s="15">
        <v>2015</v>
      </c>
      <c r="F55" s="1" t="s">
        <v>20</v>
      </c>
      <c r="G55" s="13">
        <v>4</v>
      </c>
      <c r="H55" s="15">
        <v>0</v>
      </c>
      <c r="I55" s="43" t="s">
        <v>24</v>
      </c>
      <c r="J55" s="43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3">
        <f t="shared" si="4"/>
        <v>54</v>
      </c>
      <c r="B56" s="43" t="s">
        <v>34</v>
      </c>
      <c r="C56" s="43" t="s">
        <v>33</v>
      </c>
      <c r="D56" s="1">
        <v>42056</v>
      </c>
      <c r="E56" s="15">
        <v>2015</v>
      </c>
      <c r="F56" s="1" t="s">
        <v>20</v>
      </c>
      <c r="G56" s="13">
        <v>2</v>
      </c>
      <c r="H56" s="15">
        <v>1</v>
      </c>
      <c r="I56" s="43" t="s">
        <v>24</v>
      </c>
      <c r="J56" s="43" t="s">
        <v>1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3">
        <f t="shared" si="4"/>
        <v>55</v>
      </c>
      <c r="B57" s="43" t="s">
        <v>32</v>
      </c>
      <c r="C57" s="43" t="s">
        <v>31</v>
      </c>
      <c r="D57" s="1">
        <v>42064</v>
      </c>
      <c r="E57" s="15">
        <v>2015</v>
      </c>
      <c r="F57" s="1" t="s">
        <v>20</v>
      </c>
      <c r="G57" s="13">
        <v>1</v>
      </c>
      <c r="H57" s="15">
        <v>0</v>
      </c>
      <c r="I57" s="43" t="s">
        <v>24</v>
      </c>
      <c r="J57" s="43" t="s">
        <v>23</v>
      </c>
      <c r="K57" s="7" t="s">
        <v>0</v>
      </c>
      <c r="L57" s="36"/>
      <c r="M57" s="40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3">
        <f t="shared" si="4"/>
        <v>56</v>
      </c>
      <c r="B58" s="43" t="s">
        <v>30</v>
      </c>
      <c r="C58" s="43" t="s">
        <v>76</v>
      </c>
      <c r="D58" s="1">
        <v>42071</v>
      </c>
      <c r="E58" s="15">
        <v>2015</v>
      </c>
      <c r="F58" s="1" t="s">
        <v>87</v>
      </c>
      <c r="G58" s="13">
        <v>1</v>
      </c>
      <c r="H58" s="15">
        <v>3</v>
      </c>
      <c r="I58" s="43" t="s">
        <v>24</v>
      </c>
      <c r="J58" s="43" t="s">
        <v>23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3">
        <f t="shared" si="4"/>
        <v>57</v>
      </c>
      <c r="B59" s="43" t="s">
        <v>28</v>
      </c>
      <c r="C59" s="43" t="s">
        <v>17</v>
      </c>
      <c r="D59" s="1">
        <v>42078</v>
      </c>
      <c r="E59" s="15">
        <v>2015</v>
      </c>
      <c r="F59" s="1" t="s">
        <v>20</v>
      </c>
      <c r="G59" s="13">
        <v>3</v>
      </c>
      <c r="H59" s="15">
        <v>0</v>
      </c>
      <c r="I59" s="43" t="s">
        <v>24</v>
      </c>
      <c r="J59" s="43" t="s">
        <v>1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3">
        <f t="shared" si="4"/>
        <v>58</v>
      </c>
      <c r="B60" s="43" t="s">
        <v>26</v>
      </c>
      <c r="C60" s="43" t="s">
        <v>15</v>
      </c>
      <c r="D60" s="1">
        <v>42092</v>
      </c>
      <c r="E60" s="15">
        <v>2015</v>
      </c>
      <c r="F60" s="1" t="s">
        <v>86</v>
      </c>
      <c r="G60" s="13">
        <v>1</v>
      </c>
      <c r="H60" s="15">
        <v>1</v>
      </c>
      <c r="I60" s="43" t="s">
        <v>24</v>
      </c>
      <c r="J60" s="43" t="s">
        <v>23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3">
        <f t="shared" si="4"/>
        <v>59</v>
      </c>
      <c r="B61" s="43" t="s">
        <v>27</v>
      </c>
      <c r="C61" s="43" t="s">
        <v>21</v>
      </c>
      <c r="D61" s="1">
        <v>42099</v>
      </c>
      <c r="E61" s="15">
        <v>2015</v>
      </c>
      <c r="F61" s="1" t="s">
        <v>20</v>
      </c>
      <c r="G61" s="13">
        <v>4</v>
      </c>
      <c r="H61" s="15">
        <v>1</v>
      </c>
      <c r="I61" s="43" t="s">
        <v>24</v>
      </c>
      <c r="J61" s="43" t="s">
        <v>1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3">
        <f t="shared" si="4"/>
        <v>60</v>
      </c>
      <c r="B62" s="43" t="s">
        <v>26</v>
      </c>
      <c r="C62" s="43" t="s">
        <v>25</v>
      </c>
      <c r="D62" s="1">
        <v>42127</v>
      </c>
      <c r="E62" s="15">
        <v>2015</v>
      </c>
      <c r="F62" s="1" t="s">
        <v>87</v>
      </c>
      <c r="G62" s="13">
        <v>1</v>
      </c>
      <c r="H62" s="15">
        <v>2</v>
      </c>
      <c r="I62" s="43" t="s">
        <v>24</v>
      </c>
      <c r="J62" s="43" t="s">
        <v>23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3">
        <f t="shared" si="4"/>
        <v>61</v>
      </c>
      <c r="B63" s="43" t="s">
        <v>22</v>
      </c>
      <c r="C63" s="43" t="s">
        <v>21</v>
      </c>
      <c r="D63" s="1">
        <v>42140</v>
      </c>
      <c r="E63" s="15">
        <v>2015</v>
      </c>
      <c r="F63" s="1" t="s">
        <v>20</v>
      </c>
      <c r="G63" s="13">
        <v>4</v>
      </c>
      <c r="H63" s="15">
        <v>1</v>
      </c>
      <c r="I63" s="43" t="s">
        <v>2</v>
      </c>
      <c r="J63" s="43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3">
        <f t="shared" si="4"/>
        <v>62</v>
      </c>
      <c r="B64" s="43" t="s">
        <v>20</v>
      </c>
      <c r="C64" s="43" t="s">
        <v>19</v>
      </c>
      <c r="D64" s="1">
        <v>42154</v>
      </c>
      <c r="E64" s="15">
        <v>2015</v>
      </c>
      <c r="F64" s="1" t="s">
        <v>20</v>
      </c>
      <c r="G64" s="13">
        <v>2</v>
      </c>
      <c r="H64" s="15">
        <v>0</v>
      </c>
      <c r="I64" s="43" t="s">
        <v>2</v>
      </c>
      <c r="J64" s="43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3">
        <f t="shared" si="4"/>
        <v>63</v>
      </c>
      <c r="B65" s="43" t="s">
        <v>18</v>
      </c>
      <c r="C65" s="43" t="s">
        <v>17</v>
      </c>
      <c r="D65" s="1">
        <v>42160</v>
      </c>
      <c r="E65" s="15">
        <v>2015</v>
      </c>
      <c r="F65" s="1" t="s">
        <v>20</v>
      </c>
      <c r="G65" s="13">
        <v>3</v>
      </c>
      <c r="H65" s="15">
        <v>0</v>
      </c>
      <c r="I65" s="43" t="s">
        <v>2</v>
      </c>
      <c r="J65" s="43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3">
        <f t="shared" si="4"/>
        <v>64</v>
      </c>
      <c r="B66" s="43" t="s">
        <v>16</v>
      </c>
      <c r="C66" s="43" t="s">
        <v>15</v>
      </c>
      <c r="D66" s="1">
        <v>42174</v>
      </c>
      <c r="E66" s="15">
        <v>2015</v>
      </c>
      <c r="F66" s="1" t="s">
        <v>86</v>
      </c>
      <c r="G66" s="13">
        <v>1</v>
      </c>
      <c r="H66" s="15">
        <v>1</v>
      </c>
      <c r="I66" s="43" t="s">
        <v>2</v>
      </c>
      <c r="J66" s="43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3">
        <f t="shared" si="4"/>
        <v>65</v>
      </c>
      <c r="B67" s="43" t="s">
        <v>14</v>
      </c>
      <c r="C67" s="43" t="s">
        <v>13</v>
      </c>
      <c r="D67" s="1">
        <v>42199</v>
      </c>
      <c r="E67" s="15">
        <v>2015</v>
      </c>
      <c r="F67" s="1" t="s">
        <v>87</v>
      </c>
      <c r="G67" s="13">
        <v>0</v>
      </c>
      <c r="H67" s="15">
        <v>1</v>
      </c>
      <c r="I67" s="43" t="s">
        <v>12</v>
      </c>
      <c r="J67" s="43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3">
        <f t="shared" si="4"/>
        <v>66</v>
      </c>
      <c r="B68" s="43" t="s">
        <v>11</v>
      </c>
      <c r="C68" s="43" t="s">
        <v>10</v>
      </c>
      <c r="D68" s="1">
        <v>42213</v>
      </c>
      <c r="E68" s="15">
        <v>2015</v>
      </c>
      <c r="F68" s="1" t="s">
        <v>86</v>
      </c>
      <c r="G68" s="13">
        <v>0</v>
      </c>
      <c r="H68" s="15">
        <v>0</v>
      </c>
      <c r="I68" s="43" t="s">
        <v>2</v>
      </c>
      <c r="J68" s="43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3">
        <f t="shared" si="4"/>
        <v>67</v>
      </c>
      <c r="B69" s="43" t="s">
        <v>9</v>
      </c>
      <c r="C69" s="43" t="s">
        <v>8</v>
      </c>
      <c r="D69" s="1">
        <v>42239</v>
      </c>
      <c r="E69" s="15">
        <v>2015</v>
      </c>
      <c r="F69" s="1" t="s">
        <v>87</v>
      </c>
      <c r="G69" s="13">
        <v>2</v>
      </c>
      <c r="H69" s="15">
        <v>3</v>
      </c>
      <c r="I69" s="43" t="s">
        <v>2</v>
      </c>
      <c r="J69" s="43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3">
        <f t="shared" si="4"/>
        <v>68</v>
      </c>
      <c r="B70" s="43" t="s">
        <v>7</v>
      </c>
      <c r="C70" s="43" t="s">
        <v>6</v>
      </c>
      <c r="D70" s="1">
        <v>42233</v>
      </c>
      <c r="E70" s="15">
        <v>2015</v>
      </c>
      <c r="F70" s="1" t="s">
        <v>20</v>
      </c>
      <c r="G70" s="13">
        <v>4</v>
      </c>
      <c r="H70" s="15">
        <v>0</v>
      </c>
      <c r="I70" s="43" t="s">
        <v>2</v>
      </c>
      <c r="J70" s="43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3">
        <f t="shared" si="4"/>
        <v>69</v>
      </c>
      <c r="B71" s="43" t="s">
        <v>5</v>
      </c>
      <c r="C71" s="43" t="s">
        <v>4</v>
      </c>
      <c r="D71" s="1">
        <v>42322</v>
      </c>
      <c r="E71" s="15">
        <v>2015</v>
      </c>
      <c r="F71" s="1" t="s">
        <v>87</v>
      </c>
      <c r="G71" s="13">
        <v>0</v>
      </c>
      <c r="H71" s="15">
        <v>3</v>
      </c>
      <c r="I71" s="43" t="s">
        <v>2</v>
      </c>
      <c r="J71" s="43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3">
        <f t="shared" si="4"/>
        <v>70</v>
      </c>
      <c r="B72" s="43" t="s">
        <v>3</v>
      </c>
      <c r="C72" s="43" t="s">
        <v>10</v>
      </c>
      <c r="D72" s="1">
        <v>42336</v>
      </c>
      <c r="E72" s="15">
        <v>2015</v>
      </c>
      <c r="F72" s="1" t="s">
        <v>86</v>
      </c>
      <c r="G72" s="13">
        <v>0</v>
      </c>
      <c r="H72" s="15">
        <v>0</v>
      </c>
      <c r="I72" s="43" t="s">
        <v>2</v>
      </c>
      <c r="J72" s="43" t="s">
        <v>1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3">
        <f t="shared" si="4"/>
        <v>71</v>
      </c>
      <c r="B73" s="43" t="s">
        <v>74</v>
      </c>
      <c r="C73" s="43" t="s">
        <v>33</v>
      </c>
      <c r="D73" s="1">
        <v>42402</v>
      </c>
      <c r="E73" s="15">
        <v>2016</v>
      </c>
      <c r="F73" s="1" t="s">
        <v>20</v>
      </c>
      <c r="G73" s="13">
        <v>2</v>
      </c>
      <c r="H73" s="15">
        <v>1</v>
      </c>
      <c r="I73" s="43" t="s">
        <v>24</v>
      </c>
      <c r="J73" s="43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3">
        <f t="shared" si="4"/>
        <v>72</v>
      </c>
      <c r="B74" s="43" t="s">
        <v>37</v>
      </c>
      <c r="C74" s="43" t="s">
        <v>31</v>
      </c>
      <c r="D74" s="1">
        <v>42435</v>
      </c>
      <c r="E74" s="15">
        <v>2016</v>
      </c>
      <c r="F74" s="1" t="s">
        <v>20</v>
      </c>
      <c r="G74" s="13">
        <v>1</v>
      </c>
      <c r="H74" s="15">
        <v>0</v>
      </c>
      <c r="I74" s="43" t="s">
        <v>24</v>
      </c>
      <c r="J74" s="43" t="s">
        <v>36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3">
        <f t="shared" si="4"/>
        <v>73</v>
      </c>
      <c r="B75" s="43" t="s">
        <v>26</v>
      </c>
      <c r="C75" s="43" t="s">
        <v>13</v>
      </c>
      <c r="D75" s="1">
        <v>42491</v>
      </c>
      <c r="E75" s="15">
        <v>2016</v>
      </c>
      <c r="F75" s="1" t="s">
        <v>87</v>
      </c>
      <c r="G75" s="13">
        <v>0</v>
      </c>
      <c r="H75" s="15">
        <v>1</v>
      </c>
      <c r="I75" s="43" t="s">
        <v>24</v>
      </c>
      <c r="J75" s="43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3">
        <f t="shared" si="4"/>
        <v>74</v>
      </c>
      <c r="B76" s="43" t="s">
        <v>26</v>
      </c>
      <c r="C76" s="43" t="s">
        <v>75</v>
      </c>
      <c r="D76" s="1">
        <v>42498</v>
      </c>
      <c r="E76" s="15">
        <v>2016</v>
      </c>
      <c r="F76" s="1" t="s">
        <v>86</v>
      </c>
      <c r="G76" s="13">
        <v>1</v>
      </c>
      <c r="H76" s="15">
        <v>1</v>
      </c>
      <c r="I76" s="43" t="s">
        <v>24</v>
      </c>
      <c r="J76" s="43" t="s">
        <v>23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3">
        <f t="shared" si="4"/>
        <v>75</v>
      </c>
      <c r="B77" s="43" t="s">
        <v>81</v>
      </c>
      <c r="C77" s="43" t="s">
        <v>77</v>
      </c>
      <c r="D77" s="1">
        <v>42505</v>
      </c>
      <c r="E77" s="15">
        <v>2016</v>
      </c>
      <c r="F77" s="1" t="s">
        <v>87</v>
      </c>
      <c r="G77" s="13">
        <v>0</v>
      </c>
      <c r="H77" s="15">
        <v>1</v>
      </c>
      <c r="I77" s="43" t="s">
        <v>38</v>
      </c>
      <c r="J77" s="2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3">
        <f t="shared" si="4"/>
        <v>76</v>
      </c>
      <c r="B78" s="43" t="s">
        <v>5</v>
      </c>
      <c r="C78" s="43" t="s">
        <v>33</v>
      </c>
      <c r="D78" s="1">
        <v>42554</v>
      </c>
      <c r="E78" s="15">
        <v>2016</v>
      </c>
      <c r="F78" s="1" t="s">
        <v>20</v>
      </c>
      <c r="G78" s="13">
        <v>2</v>
      </c>
      <c r="H78" s="15">
        <v>1</v>
      </c>
      <c r="I78" s="43" t="s">
        <v>38</v>
      </c>
      <c r="J78" s="43" t="s">
        <v>80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3">
        <f t="shared" si="4"/>
        <v>77</v>
      </c>
      <c r="B79" s="43" t="s">
        <v>39</v>
      </c>
      <c r="C79" s="43" t="s">
        <v>29</v>
      </c>
      <c r="D79" s="1">
        <v>42582</v>
      </c>
      <c r="E79" s="15">
        <v>2016</v>
      </c>
      <c r="F79" s="1" t="s">
        <v>20</v>
      </c>
      <c r="G79" s="13">
        <v>3</v>
      </c>
      <c r="H79" s="15">
        <v>1</v>
      </c>
      <c r="I79" s="43" t="s">
        <v>38</v>
      </c>
      <c r="J79" s="43" t="s">
        <v>95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3">
        <f t="shared" si="4"/>
        <v>78</v>
      </c>
      <c r="B80" s="43" t="s">
        <v>46</v>
      </c>
      <c r="C80" s="43" t="s">
        <v>33</v>
      </c>
      <c r="D80" s="1">
        <v>42617</v>
      </c>
      <c r="E80" s="43">
        <v>2016</v>
      </c>
      <c r="F80" s="43" t="s">
        <v>20</v>
      </c>
      <c r="G80" s="43">
        <v>2</v>
      </c>
      <c r="H80" s="15">
        <v>1</v>
      </c>
      <c r="I80" s="43" t="s">
        <v>38</v>
      </c>
      <c r="J80" s="43" t="s">
        <v>95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3">
        <f t="shared" si="4"/>
        <v>79</v>
      </c>
      <c r="B81" s="43" t="s">
        <v>30</v>
      </c>
      <c r="C81" s="43" t="s">
        <v>31</v>
      </c>
      <c r="D81" s="1">
        <v>42620</v>
      </c>
      <c r="E81" s="43">
        <v>2016</v>
      </c>
      <c r="F81" s="43" t="s">
        <v>20</v>
      </c>
      <c r="G81" s="43">
        <v>1</v>
      </c>
      <c r="H81" s="15">
        <v>0</v>
      </c>
      <c r="I81" s="43" t="s">
        <v>38</v>
      </c>
      <c r="J81" s="43" t="s">
        <v>95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3">
        <f t="shared" si="4"/>
        <v>80</v>
      </c>
      <c r="B82" s="43" t="s">
        <v>55</v>
      </c>
      <c r="C82" s="43" t="s">
        <v>31</v>
      </c>
      <c r="D82" s="1">
        <v>42655</v>
      </c>
      <c r="E82" s="15">
        <v>2016</v>
      </c>
      <c r="F82" s="43" t="s">
        <v>20</v>
      </c>
      <c r="G82" s="43">
        <v>1</v>
      </c>
      <c r="H82" s="15">
        <v>0</v>
      </c>
      <c r="I82" s="43" t="s">
        <v>38</v>
      </c>
      <c r="J82" s="43" t="s">
        <v>95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3">
        <f t="shared" si="4"/>
        <v>81</v>
      </c>
      <c r="B83" s="43" t="s">
        <v>53</v>
      </c>
      <c r="C83" s="43" t="s">
        <v>96</v>
      </c>
      <c r="D83" s="1">
        <v>42659</v>
      </c>
      <c r="E83" s="15">
        <v>2016</v>
      </c>
      <c r="F83" s="43" t="s">
        <v>20</v>
      </c>
      <c r="G83" s="43">
        <v>3</v>
      </c>
      <c r="H83" s="15">
        <v>2</v>
      </c>
      <c r="I83" s="43" t="s">
        <v>38</v>
      </c>
      <c r="J83" s="43" t="s">
        <v>95</v>
      </c>
      <c r="K83" s="7" t="s">
        <v>0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3">
        <f t="shared" si="4"/>
        <v>82</v>
      </c>
      <c r="B84" s="43" t="s">
        <v>65</v>
      </c>
      <c r="C84" s="43" t="s">
        <v>10</v>
      </c>
      <c r="D84" s="1">
        <v>42672</v>
      </c>
      <c r="E84" s="15">
        <v>2016</v>
      </c>
      <c r="F84" s="43" t="s">
        <v>86</v>
      </c>
      <c r="G84" s="43">
        <v>0</v>
      </c>
      <c r="H84" s="15">
        <v>0</v>
      </c>
      <c r="I84" s="43" t="s">
        <v>38</v>
      </c>
      <c r="J84" s="43" t="s">
        <v>95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3">
        <f t="shared" si="4"/>
        <v>83</v>
      </c>
      <c r="B85" s="43" t="s">
        <v>42</v>
      </c>
      <c r="C85" s="43" t="s">
        <v>50</v>
      </c>
      <c r="D85" s="1">
        <v>42690</v>
      </c>
      <c r="E85" s="15">
        <v>2016</v>
      </c>
      <c r="F85" s="43" t="s">
        <v>87</v>
      </c>
      <c r="G85" s="43">
        <v>0</v>
      </c>
      <c r="H85" s="15">
        <v>2</v>
      </c>
      <c r="I85" s="43" t="s">
        <v>38</v>
      </c>
      <c r="J85" s="43" t="s">
        <v>95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3">
        <f t="shared" si="4"/>
        <v>84</v>
      </c>
      <c r="B86" s="43" t="s">
        <v>97</v>
      </c>
      <c r="C86" s="43" t="s">
        <v>75</v>
      </c>
      <c r="D86" s="1">
        <v>42700</v>
      </c>
      <c r="E86" s="15">
        <v>2016</v>
      </c>
      <c r="F86" s="43" t="s">
        <v>86</v>
      </c>
      <c r="G86" s="43">
        <v>1</v>
      </c>
      <c r="H86" s="15">
        <v>1</v>
      </c>
      <c r="I86" s="43" t="s">
        <v>38</v>
      </c>
      <c r="J86" s="43" t="s">
        <v>95</v>
      </c>
      <c r="K86" s="7" t="s">
        <v>49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3">
        <f t="shared" si="4"/>
        <v>85</v>
      </c>
      <c r="B87" s="25" t="s">
        <v>34</v>
      </c>
      <c r="C87" s="25" t="s">
        <v>15</v>
      </c>
      <c r="D87" s="27">
        <v>42763</v>
      </c>
      <c r="E87" s="26">
        <v>2017</v>
      </c>
      <c r="F87" s="43" t="s">
        <v>86</v>
      </c>
      <c r="G87" s="43">
        <v>1</v>
      </c>
      <c r="H87" s="15">
        <v>1</v>
      </c>
      <c r="I87" s="43" t="s">
        <v>24</v>
      </c>
      <c r="J87" s="43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3">
        <f t="shared" si="4"/>
        <v>86</v>
      </c>
      <c r="B88" s="43" t="s">
        <v>101</v>
      </c>
      <c r="C88" s="43" t="s">
        <v>33</v>
      </c>
      <c r="D88" s="1">
        <v>42767</v>
      </c>
      <c r="E88" s="15">
        <v>2017</v>
      </c>
      <c r="F88" s="43" t="s">
        <v>20</v>
      </c>
      <c r="G88" s="43">
        <v>2</v>
      </c>
      <c r="H88" s="15">
        <v>1</v>
      </c>
      <c r="I88" s="43" t="s">
        <v>43</v>
      </c>
      <c r="J88" s="43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2">
        <f t="shared" si="4"/>
        <v>87</v>
      </c>
      <c r="B89" s="43" t="s">
        <v>102</v>
      </c>
      <c r="C89" s="43" t="s">
        <v>33</v>
      </c>
      <c r="D89" s="1">
        <v>42770</v>
      </c>
      <c r="E89" s="43">
        <v>2017</v>
      </c>
      <c r="F89" s="43" t="s">
        <v>20</v>
      </c>
      <c r="G89" s="43">
        <v>2</v>
      </c>
      <c r="H89" s="43">
        <v>1</v>
      </c>
      <c r="I89" s="43" t="s">
        <v>24</v>
      </c>
      <c r="J89" s="43" t="s">
        <v>1</v>
      </c>
      <c r="K89" s="7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3">
        <f t="shared" si="4"/>
        <v>88</v>
      </c>
      <c r="B90" s="42" t="s">
        <v>103</v>
      </c>
      <c r="C90" s="42" t="s">
        <v>31</v>
      </c>
      <c r="D90" s="18">
        <v>42781</v>
      </c>
      <c r="E90" s="42">
        <v>2017</v>
      </c>
      <c r="F90" s="42" t="s">
        <v>20</v>
      </c>
      <c r="G90" s="42">
        <v>1</v>
      </c>
      <c r="H90" s="42">
        <v>0</v>
      </c>
      <c r="I90" s="42" t="s">
        <v>43</v>
      </c>
      <c r="J90" s="42" t="s">
        <v>1</v>
      </c>
      <c r="K90" s="11" t="s">
        <v>0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3">
        <f t="shared" si="4"/>
        <v>89</v>
      </c>
      <c r="B91" s="43" t="s">
        <v>52</v>
      </c>
      <c r="C91" s="43" t="s">
        <v>31</v>
      </c>
      <c r="D91" s="1">
        <v>42803</v>
      </c>
      <c r="E91" s="15">
        <v>2017</v>
      </c>
      <c r="F91" s="43" t="s">
        <v>20</v>
      </c>
      <c r="G91" s="43">
        <v>1</v>
      </c>
      <c r="H91" s="15">
        <v>0</v>
      </c>
      <c r="I91" s="43" t="s">
        <v>24</v>
      </c>
      <c r="J91" s="43" t="s">
        <v>1</v>
      </c>
      <c r="K91" s="7" t="s">
        <v>49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3">
        <f t="shared" si="4"/>
        <v>90</v>
      </c>
      <c r="B92" s="43" t="s">
        <v>26</v>
      </c>
      <c r="C92" s="43" t="s">
        <v>10</v>
      </c>
      <c r="D92" s="1">
        <v>42813</v>
      </c>
      <c r="E92" s="15">
        <v>2017</v>
      </c>
      <c r="F92" s="43" t="s">
        <v>86</v>
      </c>
      <c r="G92" s="43">
        <v>0</v>
      </c>
      <c r="H92" s="15">
        <v>0</v>
      </c>
      <c r="I92" s="43" t="s">
        <v>24</v>
      </c>
      <c r="J92" s="43" t="s">
        <v>1</v>
      </c>
      <c r="K92" s="7" t="s">
        <v>0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3">
        <f t="shared" si="4"/>
        <v>91</v>
      </c>
      <c r="B93" s="43" t="s">
        <v>30</v>
      </c>
      <c r="C93" s="43" t="s">
        <v>8</v>
      </c>
      <c r="D93" s="1">
        <v>42817</v>
      </c>
      <c r="E93" s="15">
        <v>2017</v>
      </c>
      <c r="F93" s="43" t="s">
        <v>87</v>
      </c>
      <c r="G93" s="43">
        <v>2</v>
      </c>
      <c r="H93" s="15">
        <v>3</v>
      </c>
      <c r="I93" s="43" t="s">
        <v>24</v>
      </c>
      <c r="J93" s="43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3">
        <f t="shared" si="4"/>
        <v>92</v>
      </c>
      <c r="B94" s="43" t="s">
        <v>30</v>
      </c>
      <c r="C94" s="43" t="s">
        <v>29</v>
      </c>
      <c r="D94" s="1">
        <v>42834</v>
      </c>
      <c r="E94" s="15">
        <v>2017</v>
      </c>
      <c r="F94" s="43" t="s">
        <v>20</v>
      </c>
      <c r="G94" s="43">
        <v>3</v>
      </c>
      <c r="H94" s="15">
        <v>1</v>
      </c>
      <c r="I94" s="43" t="s">
        <v>24</v>
      </c>
      <c r="J94" s="43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3">
        <f t="shared" si="4"/>
        <v>93</v>
      </c>
      <c r="B95" s="43" t="s">
        <v>26</v>
      </c>
      <c r="C95" s="43" t="s">
        <v>50</v>
      </c>
      <c r="D95" s="1">
        <v>42841</v>
      </c>
      <c r="E95" s="15">
        <v>2017</v>
      </c>
      <c r="F95" s="43" t="s">
        <v>87</v>
      </c>
      <c r="G95" s="43">
        <v>0</v>
      </c>
      <c r="H95" s="15">
        <v>2</v>
      </c>
      <c r="I95" s="43" t="s">
        <v>24</v>
      </c>
      <c r="J95" s="43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3">
        <f t="shared" si="4"/>
        <v>94</v>
      </c>
      <c r="B96" s="43" t="s">
        <v>106</v>
      </c>
      <c r="C96" s="43" t="s">
        <v>107</v>
      </c>
      <c r="D96" s="1">
        <v>42851</v>
      </c>
      <c r="E96" s="15">
        <v>2017</v>
      </c>
      <c r="F96" s="43" t="s">
        <v>20</v>
      </c>
      <c r="G96" s="43">
        <v>2</v>
      </c>
      <c r="H96" s="15">
        <v>1</v>
      </c>
      <c r="I96" s="43" t="s">
        <v>12</v>
      </c>
      <c r="J96" s="43" t="s">
        <v>1</v>
      </c>
      <c r="K96" s="7" t="s">
        <v>49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3">
        <f t="shared" si="4"/>
        <v>95</v>
      </c>
      <c r="B97" s="43" t="s">
        <v>108</v>
      </c>
      <c r="C97" s="43" t="s">
        <v>50</v>
      </c>
      <c r="D97" s="1">
        <v>42857</v>
      </c>
      <c r="E97" s="15">
        <v>2017</v>
      </c>
      <c r="F97" s="43" t="s">
        <v>87</v>
      </c>
      <c r="G97" s="43">
        <v>0</v>
      </c>
      <c r="H97" s="15">
        <v>2</v>
      </c>
      <c r="I97" s="43" t="s">
        <v>43</v>
      </c>
      <c r="J97" s="43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7"/>
      <c r="V97" s="36"/>
      <c r="W97" s="38"/>
      <c r="X97" s="39"/>
      <c r="Y97" s="37"/>
      <c r="Z97" s="36"/>
      <c r="AA97" s="35"/>
      <c r="AB97" s="35"/>
      <c r="AC97" s="35"/>
      <c r="AD97" s="35"/>
      <c r="AE97" s="35"/>
    </row>
    <row r="98" spans="1:31" x14ac:dyDescent="0.25">
      <c r="A98" s="43">
        <f t="shared" si="4"/>
        <v>96</v>
      </c>
      <c r="B98" s="43" t="s">
        <v>109</v>
      </c>
      <c r="C98" s="43" t="s">
        <v>110</v>
      </c>
      <c r="D98" s="1">
        <v>42873</v>
      </c>
      <c r="E98" s="15">
        <v>2017</v>
      </c>
      <c r="F98" s="43" t="s">
        <v>20</v>
      </c>
      <c r="G98" s="43">
        <v>1</v>
      </c>
      <c r="H98" s="15">
        <v>0</v>
      </c>
      <c r="I98" s="43" t="s">
        <v>43</v>
      </c>
      <c r="J98" s="43" t="s">
        <v>1</v>
      </c>
      <c r="K98" s="7" t="s">
        <v>0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3">
        <f t="shared" si="4"/>
        <v>97</v>
      </c>
      <c r="B99" s="43" t="s">
        <v>97</v>
      </c>
      <c r="C99" s="43" t="s">
        <v>19</v>
      </c>
      <c r="D99" s="1">
        <v>42876</v>
      </c>
      <c r="E99" s="15">
        <v>2017</v>
      </c>
      <c r="F99" s="43" t="s">
        <v>20</v>
      </c>
      <c r="G99" s="43">
        <v>2</v>
      </c>
      <c r="H99" s="15">
        <v>0</v>
      </c>
      <c r="I99" s="43" t="s">
        <v>38</v>
      </c>
      <c r="J99" s="43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2">
        <f t="shared" si="4"/>
        <v>98</v>
      </c>
      <c r="B100" s="43" t="s">
        <v>40</v>
      </c>
      <c r="C100" s="43" t="s">
        <v>110</v>
      </c>
      <c r="D100" s="1">
        <v>42883</v>
      </c>
      <c r="E100" s="15">
        <v>2017</v>
      </c>
      <c r="F100" s="43" t="s">
        <v>20</v>
      </c>
      <c r="G100" s="43">
        <v>1</v>
      </c>
      <c r="H100" s="15">
        <v>0</v>
      </c>
      <c r="I100" s="43" t="s">
        <v>38</v>
      </c>
      <c r="J100" s="43" t="s">
        <v>1</v>
      </c>
      <c r="K100" s="7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3">
        <f t="shared" si="4"/>
        <v>99</v>
      </c>
      <c r="B101" s="42" t="s">
        <v>65</v>
      </c>
      <c r="C101" s="42" t="s">
        <v>47</v>
      </c>
      <c r="D101" s="18">
        <v>42897</v>
      </c>
      <c r="E101" s="20">
        <v>2017</v>
      </c>
      <c r="F101" s="42" t="s">
        <v>86</v>
      </c>
      <c r="G101" s="42">
        <v>2</v>
      </c>
      <c r="H101" s="20">
        <v>2</v>
      </c>
      <c r="I101" s="42" t="s">
        <v>38</v>
      </c>
      <c r="J101" s="42" t="s">
        <v>1</v>
      </c>
      <c r="K101" s="11" t="s">
        <v>49</v>
      </c>
      <c r="L101" s="36"/>
      <c r="M101" s="36"/>
      <c r="N101" s="36"/>
      <c r="O101" s="36"/>
      <c r="P101" s="36"/>
      <c r="Q101" s="36"/>
      <c r="R101" s="36"/>
      <c r="S101" s="40"/>
      <c r="T101" s="36"/>
      <c r="U101" s="36"/>
      <c r="V101" s="36"/>
      <c r="W101" s="36"/>
      <c r="X101" s="36"/>
      <c r="Y101" s="36"/>
      <c r="Z101" s="36"/>
      <c r="AA101" s="35"/>
      <c r="AB101" s="35"/>
      <c r="AC101" s="35"/>
      <c r="AD101" s="35"/>
      <c r="AE101" s="35"/>
    </row>
    <row r="102" spans="1:31" x14ac:dyDescent="0.25">
      <c r="A102" s="43">
        <f t="shared" si="4"/>
        <v>100</v>
      </c>
      <c r="B102" s="43" t="s">
        <v>26</v>
      </c>
      <c r="C102" s="43" t="s">
        <v>29</v>
      </c>
      <c r="D102" s="1">
        <v>42907</v>
      </c>
      <c r="E102" s="15">
        <v>2017</v>
      </c>
      <c r="F102" s="43" t="s">
        <v>20</v>
      </c>
      <c r="G102" s="43">
        <v>3</v>
      </c>
      <c r="H102" s="15">
        <v>1</v>
      </c>
      <c r="I102" s="43" t="s">
        <v>38</v>
      </c>
      <c r="J102" s="43" t="s">
        <v>1</v>
      </c>
      <c r="K102" s="43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101</v>
      </c>
      <c r="B103" s="43" t="s">
        <v>111</v>
      </c>
      <c r="C103" s="43" t="s">
        <v>50</v>
      </c>
      <c r="D103" s="1">
        <v>42912</v>
      </c>
      <c r="E103" s="15">
        <v>2017</v>
      </c>
      <c r="F103" s="43" t="s">
        <v>87</v>
      </c>
      <c r="G103" s="43">
        <v>0</v>
      </c>
      <c r="H103" s="15">
        <v>2</v>
      </c>
      <c r="I103" s="43" t="s">
        <v>38</v>
      </c>
      <c r="J103" s="43" t="s">
        <v>1</v>
      </c>
      <c r="K103" s="43" t="s">
        <v>0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2">
        <f t="shared" si="4"/>
        <v>102</v>
      </c>
      <c r="B104" s="25" t="s">
        <v>53</v>
      </c>
      <c r="C104" s="25" t="s">
        <v>15</v>
      </c>
      <c r="D104" s="27">
        <v>42925</v>
      </c>
      <c r="E104" s="26">
        <v>2017</v>
      </c>
      <c r="F104" s="25" t="s">
        <v>86</v>
      </c>
      <c r="G104" s="25">
        <v>1</v>
      </c>
      <c r="H104" s="26">
        <v>1</v>
      </c>
      <c r="I104" s="25" t="s">
        <v>38</v>
      </c>
      <c r="J104" s="25" t="s">
        <v>1</v>
      </c>
      <c r="K104" s="30" t="s">
        <v>49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3">
        <f t="shared" si="4"/>
        <v>103</v>
      </c>
      <c r="B105" s="42" t="s">
        <v>30</v>
      </c>
      <c r="C105" s="42" t="s">
        <v>31</v>
      </c>
      <c r="D105" s="18">
        <v>42928</v>
      </c>
      <c r="E105" s="20">
        <v>2017</v>
      </c>
      <c r="F105" s="42" t="s">
        <v>20</v>
      </c>
      <c r="G105" s="42">
        <v>1</v>
      </c>
      <c r="H105" s="20">
        <v>0</v>
      </c>
      <c r="I105" s="42" t="s">
        <v>38</v>
      </c>
      <c r="J105" s="42" t="s">
        <v>23</v>
      </c>
      <c r="K105" s="42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2">
        <f t="shared" si="4"/>
        <v>104</v>
      </c>
      <c r="B106" s="43" t="s">
        <v>106</v>
      </c>
      <c r="C106" s="43" t="s">
        <v>33</v>
      </c>
      <c r="D106" s="1">
        <v>42933</v>
      </c>
      <c r="E106" s="15">
        <v>2017</v>
      </c>
      <c r="F106" s="43" t="s">
        <v>20</v>
      </c>
      <c r="G106" s="43">
        <v>2</v>
      </c>
      <c r="H106" s="15">
        <v>1</v>
      </c>
      <c r="I106" s="43" t="s">
        <v>38</v>
      </c>
      <c r="J106" s="43" t="s">
        <v>1</v>
      </c>
      <c r="K106" s="43" t="s">
        <v>0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3">
        <f t="shared" si="4"/>
        <v>105</v>
      </c>
      <c r="B107" s="42" t="s">
        <v>53</v>
      </c>
      <c r="C107" s="42" t="s">
        <v>17</v>
      </c>
      <c r="D107" s="18">
        <v>42942</v>
      </c>
      <c r="E107" s="20">
        <v>2017</v>
      </c>
      <c r="F107" s="42" t="s">
        <v>20</v>
      </c>
      <c r="G107" s="42">
        <v>3</v>
      </c>
      <c r="H107" s="20">
        <v>0</v>
      </c>
      <c r="I107" s="42" t="s">
        <v>38</v>
      </c>
      <c r="J107" s="42" t="s">
        <v>1</v>
      </c>
      <c r="K107" s="42" t="s">
        <v>49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2">
        <f t="shared" si="4"/>
        <v>106</v>
      </c>
      <c r="B108" s="43" t="s">
        <v>81</v>
      </c>
      <c r="C108" s="43" t="s">
        <v>112</v>
      </c>
      <c r="D108" s="1">
        <v>42945</v>
      </c>
      <c r="E108" s="15">
        <v>2017</v>
      </c>
      <c r="F108" s="43" t="s">
        <v>87</v>
      </c>
      <c r="G108" s="43">
        <v>3</v>
      </c>
      <c r="H108" s="15">
        <v>4</v>
      </c>
      <c r="I108" s="43" t="s">
        <v>38</v>
      </c>
      <c r="J108" s="43" t="s">
        <v>1</v>
      </c>
      <c r="K108" s="43" t="s">
        <v>0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3">
        <f t="shared" si="4"/>
        <v>107</v>
      </c>
      <c r="B109" s="42" t="s">
        <v>39</v>
      </c>
      <c r="C109" s="42" t="s">
        <v>105</v>
      </c>
      <c r="D109" s="18">
        <v>42949</v>
      </c>
      <c r="E109" s="20">
        <v>2017</v>
      </c>
      <c r="F109" s="42" t="s">
        <v>87</v>
      </c>
      <c r="G109" s="42">
        <v>1</v>
      </c>
      <c r="H109" s="20">
        <v>2</v>
      </c>
      <c r="I109" s="42" t="s">
        <v>38</v>
      </c>
      <c r="J109" s="42" t="s">
        <v>1</v>
      </c>
      <c r="K109" s="42" t="s">
        <v>49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3">
        <f t="shared" ref="A110:A126" si="5">SUM(A109+1)</f>
        <v>108</v>
      </c>
      <c r="B110" s="43" t="s">
        <v>113</v>
      </c>
      <c r="C110" s="43" t="s">
        <v>19</v>
      </c>
      <c r="D110" s="1">
        <v>42957</v>
      </c>
      <c r="E110" s="15">
        <v>2017</v>
      </c>
      <c r="F110" s="43" t="s">
        <v>20</v>
      </c>
      <c r="G110" s="43">
        <v>2</v>
      </c>
      <c r="H110" s="15">
        <v>0</v>
      </c>
      <c r="I110" s="43" t="s">
        <v>43</v>
      </c>
      <c r="J110" s="43" t="s">
        <v>1</v>
      </c>
      <c r="K110" s="43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3">
        <f t="shared" si="5"/>
        <v>109</v>
      </c>
      <c r="B111" s="43" t="s">
        <v>46</v>
      </c>
      <c r="C111" s="43" t="s">
        <v>31</v>
      </c>
      <c r="D111" s="1">
        <v>42960</v>
      </c>
      <c r="E111" s="15">
        <v>2017</v>
      </c>
      <c r="F111" s="43" t="s">
        <v>20</v>
      </c>
      <c r="G111" s="43">
        <v>1</v>
      </c>
      <c r="H111" s="15">
        <v>0</v>
      </c>
      <c r="I111" s="43" t="s">
        <v>38</v>
      </c>
      <c r="J111" s="43" t="s">
        <v>1</v>
      </c>
      <c r="K111" s="43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2">
        <f t="shared" si="5"/>
        <v>110</v>
      </c>
      <c r="B112" s="43" t="s">
        <v>32</v>
      </c>
      <c r="C112" s="43" t="s">
        <v>10</v>
      </c>
      <c r="D112" s="1">
        <v>42963</v>
      </c>
      <c r="E112" s="15">
        <v>2017</v>
      </c>
      <c r="F112" s="43" t="s">
        <v>86</v>
      </c>
      <c r="G112" s="43">
        <v>0</v>
      </c>
      <c r="H112" s="15">
        <v>0</v>
      </c>
      <c r="I112" s="43" t="s">
        <v>12</v>
      </c>
      <c r="J112" s="43" t="s">
        <v>1</v>
      </c>
      <c r="K112" s="43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3">
        <f t="shared" si="5"/>
        <v>111</v>
      </c>
      <c r="B113" s="42" t="s">
        <v>32</v>
      </c>
      <c r="C113" s="42" t="s">
        <v>13</v>
      </c>
      <c r="D113" s="18">
        <v>42970</v>
      </c>
      <c r="E113" s="20">
        <v>2017</v>
      </c>
      <c r="F113" s="42" t="s">
        <v>87</v>
      </c>
      <c r="G113" s="42">
        <v>0</v>
      </c>
      <c r="H113" s="20">
        <v>1</v>
      </c>
      <c r="I113" s="42" t="s">
        <v>12</v>
      </c>
      <c r="J113" s="42" t="s">
        <v>23</v>
      </c>
      <c r="K113" s="42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3">
        <f t="shared" si="5"/>
        <v>112</v>
      </c>
      <c r="B114" s="43" t="s">
        <v>32</v>
      </c>
      <c r="C114" s="43" t="s">
        <v>19</v>
      </c>
      <c r="D114" s="1">
        <v>42988</v>
      </c>
      <c r="E114" s="15">
        <v>2017</v>
      </c>
      <c r="F114" s="43" t="s">
        <v>20</v>
      </c>
      <c r="G114" s="43">
        <v>2</v>
      </c>
      <c r="H114" s="15">
        <v>0</v>
      </c>
      <c r="I114" s="43" t="s">
        <v>38</v>
      </c>
      <c r="J114" s="43" t="s">
        <v>1</v>
      </c>
      <c r="K114" s="43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4">
        <f t="shared" si="5"/>
        <v>113</v>
      </c>
      <c r="B115" s="43" t="s">
        <v>46</v>
      </c>
      <c r="C115" s="43" t="s">
        <v>10</v>
      </c>
      <c r="D115" s="1">
        <v>42991</v>
      </c>
      <c r="E115" s="15">
        <v>2017</v>
      </c>
      <c r="F115" s="43" t="s">
        <v>86</v>
      </c>
      <c r="G115" s="43">
        <v>0</v>
      </c>
      <c r="H115" s="15">
        <v>0</v>
      </c>
      <c r="I115" s="43" t="s">
        <v>38</v>
      </c>
      <c r="J115" s="43" t="s">
        <v>1</v>
      </c>
      <c r="K115" s="43" t="s">
        <v>0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4">
        <f t="shared" si="5"/>
        <v>114</v>
      </c>
      <c r="B116" s="44" t="s">
        <v>41</v>
      </c>
      <c r="C116" s="44" t="s">
        <v>19</v>
      </c>
      <c r="D116" s="1">
        <v>42994</v>
      </c>
      <c r="E116" s="15">
        <v>2017</v>
      </c>
      <c r="F116" s="44" t="s">
        <v>20</v>
      </c>
      <c r="G116" s="44">
        <v>2</v>
      </c>
      <c r="H116" s="15">
        <v>0</v>
      </c>
      <c r="I116" s="44" t="s">
        <v>38</v>
      </c>
      <c r="J116" s="44" t="s">
        <v>1</v>
      </c>
      <c r="K116" s="44" t="s">
        <v>49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4">
        <f t="shared" si="5"/>
        <v>115</v>
      </c>
      <c r="B117" s="44" t="s">
        <v>20</v>
      </c>
      <c r="C117" s="44" t="s">
        <v>8</v>
      </c>
      <c r="D117" s="1">
        <v>43009</v>
      </c>
      <c r="E117" s="44">
        <v>2017</v>
      </c>
      <c r="F117" s="44" t="s">
        <v>87</v>
      </c>
      <c r="G117" s="44">
        <v>2</v>
      </c>
      <c r="H117" s="44">
        <v>3</v>
      </c>
      <c r="I117" s="44" t="s">
        <v>38</v>
      </c>
      <c r="J117" s="44" t="s">
        <v>1</v>
      </c>
      <c r="K117" s="44" t="s">
        <v>0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4">
        <f t="shared" si="5"/>
        <v>116</v>
      </c>
      <c r="B118" s="44" t="s">
        <v>42</v>
      </c>
      <c r="C118" s="44" t="s">
        <v>107</v>
      </c>
      <c r="D118" s="1">
        <v>43019</v>
      </c>
      <c r="E118" s="44">
        <v>2017</v>
      </c>
      <c r="F118" s="44" t="s">
        <v>20</v>
      </c>
      <c r="G118" s="44">
        <v>2</v>
      </c>
      <c r="H118" s="44">
        <v>1</v>
      </c>
      <c r="I118" s="44" t="s">
        <v>38</v>
      </c>
      <c r="J118" s="44" t="s">
        <v>1</v>
      </c>
      <c r="K118" s="44" t="s">
        <v>49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4">
        <f t="shared" si="5"/>
        <v>117</v>
      </c>
      <c r="B119" s="44" t="s">
        <v>26</v>
      </c>
      <c r="C119" s="44" t="s">
        <v>13</v>
      </c>
      <c r="D119" s="1">
        <v>43022</v>
      </c>
      <c r="E119" s="44">
        <v>2017</v>
      </c>
      <c r="F119" s="44" t="s">
        <v>87</v>
      </c>
      <c r="G119" s="44">
        <v>0</v>
      </c>
      <c r="H119" s="44">
        <v>1</v>
      </c>
      <c r="I119" s="44" t="s">
        <v>38</v>
      </c>
      <c r="J119" s="44" t="s">
        <v>23</v>
      </c>
      <c r="K119" s="44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5">
        <f t="shared" si="5"/>
        <v>118</v>
      </c>
      <c r="B120" s="44" t="s">
        <v>63</v>
      </c>
      <c r="C120" s="44" t="s">
        <v>33</v>
      </c>
      <c r="D120" s="1">
        <v>43031</v>
      </c>
      <c r="E120" s="44">
        <v>2017</v>
      </c>
      <c r="F120" s="44" t="s">
        <v>20</v>
      </c>
      <c r="G120" s="44">
        <v>2</v>
      </c>
      <c r="H120" s="44">
        <v>1</v>
      </c>
      <c r="I120" s="44" t="s">
        <v>38</v>
      </c>
      <c r="J120" s="44" t="s">
        <v>1</v>
      </c>
      <c r="K120" s="44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6">
        <f t="shared" si="5"/>
        <v>119</v>
      </c>
      <c r="B121" s="45" t="s">
        <v>30</v>
      </c>
      <c r="C121" s="45" t="s">
        <v>25</v>
      </c>
      <c r="D121" s="1">
        <v>43043</v>
      </c>
      <c r="E121" s="45">
        <v>2017</v>
      </c>
      <c r="F121" s="45" t="s">
        <v>87</v>
      </c>
      <c r="G121" s="45">
        <v>1</v>
      </c>
      <c r="H121" s="45">
        <v>2</v>
      </c>
      <c r="I121" s="45" t="s">
        <v>38</v>
      </c>
      <c r="J121" s="45" t="s">
        <v>1</v>
      </c>
      <c r="K121" s="49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7">
        <f t="shared" si="5"/>
        <v>120</v>
      </c>
      <c r="B122" s="46" t="s">
        <v>60</v>
      </c>
      <c r="C122" s="46" t="s">
        <v>13</v>
      </c>
      <c r="D122" s="1">
        <v>43050</v>
      </c>
      <c r="E122" s="46">
        <v>2017</v>
      </c>
      <c r="F122" s="46" t="s">
        <v>87</v>
      </c>
      <c r="G122" s="46">
        <v>0</v>
      </c>
      <c r="H122" s="46">
        <v>1</v>
      </c>
      <c r="I122" s="46" t="s">
        <v>38</v>
      </c>
      <c r="J122" s="46" t="s">
        <v>1</v>
      </c>
      <c r="K122" s="49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8">
        <f t="shared" si="5"/>
        <v>121</v>
      </c>
      <c r="B123" s="47" t="s">
        <v>114</v>
      </c>
      <c r="C123" s="47" t="s">
        <v>25</v>
      </c>
      <c r="D123" s="1">
        <v>43055</v>
      </c>
      <c r="E123" s="47">
        <v>2017</v>
      </c>
      <c r="F123" s="47" t="s">
        <v>87</v>
      </c>
      <c r="G123" s="47">
        <v>1</v>
      </c>
      <c r="H123" s="47">
        <v>2</v>
      </c>
      <c r="I123" s="47" t="s">
        <v>38</v>
      </c>
      <c r="J123" s="47" t="s">
        <v>1</v>
      </c>
      <c r="K123" s="49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49">
        <f t="shared" si="5"/>
        <v>122</v>
      </c>
      <c r="B124" s="48" t="s">
        <v>115</v>
      </c>
      <c r="C124" s="48" t="s">
        <v>47</v>
      </c>
      <c r="D124" s="1">
        <v>43072</v>
      </c>
      <c r="E124" s="48">
        <v>2017</v>
      </c>
      <c r="F124" s="48" t="s">
        <v>86</v>
      </c>
      <c r="G124" s="48">
        <v>2</v>
      </c>
      <c r="H124" s="48">
        <v>2</v>
      </c>
      <c r="I124" s="48" t="s">
        <v>38</v>
      </c>
      <c r="J124" s="48" t="s">
        <v>1</v>
      </c>
      <c r="K124" s="49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49">
        <f t="shared" si="5"/>
        <v>123</v>
      </c>
      <c r="B125" s="49" t="s">
        <v>74</v>
      </c>
      <c r="C125" s="50" t="s">
        <v>47</v>
      </c>
      <c r="D125" s="1">
        <v>43116</v>
      </c>
      <c r="E125" s="49">
        <v>2018</v>
      </c>
      <c r="F125" s="50" t="s">
        <v>86</v>
      </c>
      <c r="G125" s="49">
        <v>2</v>
      </c>
      <c r="H125" s="49">
        <v>2</v>
      </c>
      <c r="I125" s="49" t="s">
        <v>24</v>
      </c>
      <c r="J125" s="49" t="s">
        <v>1</v>
      </c>
      <c r="K125" s="49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63">
        <f t="shared" si="5"/>
        <v>124</v>
      </c>
      <c r="B126" s="63" t="s">
        <v>30</v>
      </c>
      <c r="C126" s="63" t="s">
        <v>10</v>
      </c>
      <c r="D126" s="64">
        <v>43120</v>
      </c>
      <c r="E126" s="63">
        <v>2018</v>
      </c>
      <c r="F126" s="63" t="s">
        <v>86</v>
      </c>
      <c r="G126" s="63">
        <v>0</v>
      </c>
      <c r="H126" s="63">
        <v>0</v>
      </c>
      <c r="I126" s="63" t="s">
        <v>24</v>
      </c>
      <c r="J126" s="63" t="s">
        <v>23</v>
      </c>
      <c r="K126" s="63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</sheetData>
  <sortState ref="N3:O7">
    <sortCondition descending="1" ref="O3:O7"/>
  </sortState>
  <mergeCells count="1">
    <mergeCell ref="A1:Z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2018-01-23T04:43:40Z</dcterms:modified>
</cp:coreProperties>
</file>