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lambeth-my.sharepoint.com/personal/20050748_student_lambeth_ac_uk/Documents/Unit 9 - spreadsheet development/Spreadsheet_assignment/"/>
    </mc:Choice>
  </mc:AlternateContent>
  <xr:revisionPtr revIDLastSave="520" documentId="11_0EA62EB767EB61C4FEC0442AB4FA77E346602EA3" xr6:coauthVersionLast="47" xr6:coauthVersionMax="47" xr10:uidLastSave="{60596D6A-92A8-E249-B7CC-97D9F34FF4D4}"/>
  <bookViews>
    <workbookView xWindow="160" yWindow="660" windowWidth="16560" windowHeight="18460" activeTab="3" xr2:uid="{00000000-000D-0000-FFFF-FFFF00000000}"/>
  </bookViews>
  <sheets>
    <sheet name="Switch Board" sheetId="2" r:id="rId1"/>
    <sheet name="Ticket-holder details" sheetId="1" r:id="rId2"/>
    <sheet name="Summary of information" sheetId="4" r:id="rId3"/>
    <sheet name="Season-ticket type details" sheetId="3" r:id="rId4"/>
  </sheets>
  <definedNames>
    <definedName name="_xleta.COUNTIF" hidden="1" xlm="1">#NAME?</definedName>
    <definedName name="_xleta.SUM" hidden="1" xlm="1">#NAME?</definedName>
    <definedName name="_xleta.T" hidden="1" xlm="1">#NAME?</definedName>
    <definedName name="_xleta.TYP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4" l="1"/>
  <c r="B40" i="4"/>
  <c r="F40" i="4" s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B21" i="4"/>
  <c r="B20" i="4"/>
  <c r="B19" i="4"/>
  <c r="C26" i="3"/>
  <c r="C25" i="3"/>
  <c r="C24" i="3"/>
  <c r="B24" i="3"/>
  <c r="D24" i="3" s="1"/>
  <c r="N3" i="1"/>
  <c r="B26" i="3"/>
  <c r="D26" i="3" s="1"/>
  <c r="B25" i="3"/>
  <c r="D25" i="3" s="1"/>
  <c r="D22" i="2"/>
  <c r="D21" i="2"/>
  <c r="E43" i="4"/>
  <c r="E39" i="4"/>
  <c r="E42" i="4"/>
  <c r="E41" i="4"/>
  <c r="E40" i="4"/>
  <c r="D43" i="4"/>
  <c r="D42" i="4"/>
  <c r="D41" i="4"/>
  <c r="D40" i="4"/>
  <c r="D39" i="4"/>
  <c r="C42" i="4"/>
  <c r="C40" i="4"/>
  <c r="C39" i="4"/>
  <c r="B42" i="4"/>
  <c r="F42" i="4" s="1"/>
  <c r="B41" i="4"/>
  <c r="B39" i="4"/>
  <c r="F39" i="4" s="1"/>
  <c r="D34" i="4"/>
  <c r="D30" i="4"/>
  <c r="D33" i="4"/>
  <c r="C33" i="4"/>
  <c r="B33" i="4"/>
  <c r="E33" i="4" s="1"/>
  <c r="D32" i="4"/>
  <c r="C32" i="4"/>
  <c r="B32" i="4"/>
  <c r="E32" i="4" s="1"/>
  <c r="D31" i="4"/>
  <c r="C31" i="4"/>
  <c r="B31" i="4"/>
  <c r="E31" i="4" s="1"/>
  <c r="B30" i="4"/>
  <c r="C30" i="4"/>
  <c r="E30" i="4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3" i="1"/>
  <c r="B7" i="4"/>
  <c r="B6" i="4"/>
  <c r="B5" i="4"/>
  <c r="B14" i="4"/>
  <c r="B13" i="4"/>
  <c r="B26" i="4"/>
  <c r="B25" i="4"/>
  <c r="B12" i="4"/>
  <c r="B11" i="4"/>
  <c r="B15" i="4" s="1"/>
  <c r="K4" i="1" a="1"/>
  <c r="K4" i="1" s="1"/>
  <c r="K5" i="1" a="1"/>
  <c r="K5" i="1" s="1"/>
  <c r="K6" i="1" a="1"/>
  <c r="K6" i="1"/>
  <c r="K7" i="1" a="1"/>
  <c r="K7" i="1" s="1"/>
  <c r="K8" i="1" a="1"/>
  <c r="K8" i="1" s="1"/>
  <c r="K9" i="1" a="1"/>
  <c r="K9" i="1" s="1"/>
  <c r="K10" i="1" a="1"/>
  <c r="K10" i="1" s="1"/>
  <c r="K11" i="1" a="1"/>
  <c r="K11" i="1" s="1"/>
  <c r="K12" i="1" a="1"/>
  <c r="K12" i="1" s="1"/>
  <c r="K13" i="1" a="1"/>
  <c r="K13" i="1" s="1"/>
  <c r="K14" i="1" a="1"/>
  <c r="K14" i="1" s="1"/>
  <c r="K15" i="1" a="1"/>
  <c r="K15" i="1" s="1"/>
  <c r="K16" i="1" a="1"/>
  <c r="K16" i="1" s="1"/>
  <c r="K17" i="1" a="1"/>
  <c r="K17" i="1"/>
  <c r="K18" i="1" a="1"/>
  <c r="K18" i="1" s="1"/>
  <c r="K19" i="1" a="1"/>
  <c r="K19" i="1" s="1"/>
  <c r="K20" i="1" a="1"/>
  <c r="K20" i="1" s="1"/>
  <c r="K21" i="1" a="1"/>
  <c r="K21" i="1" s="1"/>
  <c r="K22" i="1" a="1"/>
  <c r="K22" i="1"/>
  <c r="K23" i="1" a="1"/>
  <c r="K23" i="1" s="1"/>
  <c r="K24" i="1" a="1"/>
  <c r="K24" i="1" s="1"/>
  <c r="K25" i="1" a="1"/>
  <c r="K25" i="1" s="1"/>
  <c r="K26" i="1" a="1"/>
  <c r="K26" i="1" s="1"/>
  <c r="K27" i="1" a="1"/>
  <c r="K27" i="1" s="1"/>
  <c r="K28" i="1" a="1"/>
  <c r="K28" i="1" s="1"/>
  <c r="K29" i="1" a="1"/>
  <c r="K29" i="1" s="1"/>
  <c r="K30" i="1" a="1"/>
  <c r="K30" i="1" s="1"/>
  <c r="K31" i="1" a="1"/>
  <c r="K31" i="1" s="1"/>
  <c r="K32" i="1" a="1"/>
  <c r="K32" i="1" s="1"/>
  <c r="K33" i="1" a="1"/>
  <c r="K33" i="1"/>
  <c r="K34" i="1" a="1"/>
  <c r="K34" i="1" s="1"/>
  <c r="K35" i="1" a="1"/>
  <c r="K35" i="1" s="1"/>
  <c r="K36" i="1" a="1"/>
  <c r="K36" i="1" s="1"/>
  <c r="K37" i="1" a="1"/>
  <c r="K37" i="1" s="1"/>
  <c r="K38" i="1" a="1"/>
  <c r="K38" i="1" s="1"/>
  <c r="K39" i="1" a="1"/>
  <c r="K39" i="1" s="1"/>
  <c r="K40" i="1" a="1"/>
  <c r="K40" i="1" s="1"/>
  <c r="K41" i="1" a="1"/>
  <c r="K41" i="1" s="1"/>
  <c r="K42" i="1" a="1"/>
  <c r="K42" i="1" s="1"/>
  <c r="K43" i="1" a="1"/>
  <c r="K43" i="1" s="1"/>
  <c r="K44" i="1" a="1"/>
  <c r="K44" i="1" s="1"/>
  <c r="K45" i="1" a="1"/>
  <c r="K45" i="1" s="1"/>
  <c r="K46" i="1" a="1"/>
  <c r="K46" i="1"/>
  <c r="K47" i="1" a="1"/>
  <c r="K47" i="1" s="1"/>
  <c r="K48" i="1" a="1"/>
  <c r="K48" i="1" s="1"/>
  <c r="K49" i="1" a="1"/>
  <c r="K49" i="1" s="1"/>
  <c r="K50" i="1" a="1"/>
  <c r="K50" i="1" s="1"/>
  <c r="K51" i="1" a="1"/>
  <c r="K51" i="1" s="1"/>
  <c r="K52" i="1" a="1"/>
  <c r="K52" i="1" s="1"/>
  <c r="K53" i="1" a="1"/>
  <c r="K53" i="1" s="1"/>
  <c r="K54" i="1" a="1"/>
  <c r="K54" i="1"/>
  <c r="K55" i="1" a="1"/>
  <c r="K55" i="1" s="1"/>
  <c r="K56" i="1" a="1"/>
  <c r="K56" i="1" s="1"/>
  <c r="K57" i="1" a="1"/>
  <c r="K57" i="1" s="1"/>
  <c r="K58" i="1" a="1"/>
  <c r="K58" i="1"/>
  <c r="K59" i="1" a="1"/>
  <c r="K59" i="1" s="1"/>
  <c r="K60" i="1" a="1"/>
  <c r="K60" i="1" s="1"/>
  <c r="K61" i="1" a="1"/>
  <c r="K61" i="1" s="1"/>
  <c r="K62" i="1" a="1"/>
  <c r="K62" i="1"/>
  <c r="K63" i="1" a="1"/>
  <c r="K63" i="1" s="1"/>
  <c r="K64" i="1" a="1"/>
  <c r="K64" i="1" s="1"/>
  <c r="K65" i="1" a="1"/>
  <c r="K65" i="1" s="1"/>
  <c r="K66" i="1" a="1"/>
  <c r="K66" i="1" s="1"/>
  <c r="K67" i="1" a="1"/>
  <c r="K67" i="1" s="1"/>
  <c r="K68" i="1" a="1"/>
  <c r="K68" i="1" s="1"/>
  <c r="K69" i="1" a="1"/>
  <c r="K69" i="1" s="1"/>
  <c r="K70" i="1" a="1"/>
  <c r="K70" i="1" s="1"/>
  <c r="K71" i="1" a="1"/>
  <c r="K71" i="1" s="1"/>
  <c r="K72" i="1" a="1"/>
  <c r="K72" i="1" s="1"/>
  <c r="K3" i="1" a="1"/>
  <c r="K3" i="1" s="1"/>
  <c r="B4" i="4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5" i="1"/>
  <c r="F64" i="1"/>
  <c r="F66" i="1"/>
  <c r="F67" i="1"/>
  <c r="F68" i="1"/>
  <c r="F69" i="1"/>
  <c r="F70" i="1"/>
  <c r="F71" i="1"/>
  <c r="F72" i="1"/>
  <c r="A50" i="1"/>
  <c r="E34" i="4" l="1"/>
  <c r="B34" i="4"/>
  <c r="C34" i="4"/>
  <c r="F41" i="4"/>
  <c r="F43" i="4" s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3" i="1"/>
  <c r="A3" i="1" l="1"/>
  <c r="A9" i="1"/>
  <c r="A4" i="1" l="1"/>
  <c r="A5" i="1"/>
  <c r="A6" i="1"/>
  <c r="A7" i="1"/>
  <c r="A8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F3" i="1" a="1"/>
  <c r="F3" i="1" s="1"/>
  <c r="F4" i="1" l="1"/>
  <c r="F37" i="1"/>
  <c r="F6" i="1"/>
  <c r="F23" i="1"/>
  <c r="F8" i="1"/>
  <c r="F41" i="1"/>
  <c r="F26" i="1"/>
  <c r="F11" i="1"/>
  <c r="F28" i="1"/>
  <c r="F29" i="1"/>
  <c r="F46" i="1"/>
  <c r="F16" i="1"/>
  <c r="F32" i="1"/>
  <c r="F48" i="1"/>
  <c r="F19" i="1"/>
  <c r="F36" i="1"/>
  <c r="F21" i="1"/>
  <c r="F38" i="1"/>
  <c r="F7" i="1"/>
  <c r="F24" i="1"/>
  <c r="F9" i="1"/>
  <c r="F10" i="1"/>
  <c r="F43" i="1"/>
  <c r="F44" i="1"/>
  <c r="F13" i="1"/>
  <c r="F14" i="1"/>
  <c r="F31" i="1"/>
  <c r="F17" i="1"/>
  <c r="F33" i="1"/>
  <c r="F49" i="1"/>
  <c r="F35" i="1"/>
  <c r="F20" i="1"/>
  <c r="F5" i="1"/>
  <c r="F22" i="1"/>
  <c r="F39" i="1"/>
  <c r="F40" i="1"/>
  <c r="F25" i="1"/>
  <c r="F42" i="1"/>
  <c r="F27" i="1"/>
  <c r="F12" i="1"/>
  <c r="F45" i="1"/>
  <c r="F30" i="1"/>
  <c r="F15" i="1"/>
  <c r="F47" i="1"/>
  <c r="F18" i="1"/>
  <c r="F34" i="1"/>
  <c r="F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<sst xmlns="http://schemas.openxmlformats.org/spreadsheetml/2006/main" count="541" uniqueCount="158">
  <si>
    <t>Ticket-holder details</t>
  </si>
  <si>
    <t>Name</t>
  </si>
  <si>
    <t>Gender</t>
  </si>
  <si>
    <t>Phone Number</t>
  </si>
  <si>
    <t>Ticket Type</t>
  </si>
  <si>
    <t>Unique Ticket Code</t>
  </si>
  <si>
    <t>Summary Of Information</t>
  </si>
  <si>
    <t>Metric</t>
  </si>
  <si>
    <t>Value</t>
  </si>
  <si>
    <t>Total Succesful Applications</t>
  </si>
  <si>
    <t>Total Unsuccessful Application</t>
  </si>
  <si>
    <t>Total Applications</t>
  </si>
  <si>
    <t>Ticket type</t>
  </si>
  <si>
    <t>Adult</t>
  </si>
  <si>
    <t>Child</t>
  </si>
  <si>
    <t>Total</t>
  </si>
  <si>
    <t>Seating Area Allocation</t>
  </si>
  <si>
    <t>Seating Area</t>
  </si>
  <si>
    <t>Area A</t>
  </si>
  <si>
    <t>Area B</t>
  </si>
  <si>
    <t>Season Ticket Type Details</t>
  </si>
  <si>
    <t>Benjamin Carter</t>
  </si>
  <si>
    <t>Olivia Thompson</t>
  </si>
  <si>
    <t>Michael Johnson</t>
  </si>
  <si>
    <t>Sophia Brown</t>
  </si>
  <si>
    <t>Alexander Davis</t>
  </si>
  <si>
    <t>Isabella White</t>
  </si>
  <si>
    <t>Ethan Harris</t>
  </si>
  <si>
    <t>Emma Wilson</t>
  </si>
  <si>
    <t>Daniel Miller</t>
  </si>
  <si>
    <t>Ava Moore</t>
  </si>
  <si>
    <t>Noah Taylor</t>
  </si>
  <si>
    <t>Grace Anderson</t>
  </si>
  <si>
    <t>Elijah Scott</t>
  </si>
  <si>
    <t>Abigail Thomas</t>
  </si>
  <si>
    <t>Matthew King</t>
  </si>
  <si>
    <t>Charlotte Hall</t>
  </si>
  <si>
    <t>Samuel Perez</t>
  </si>
  <si>
    <t>Hannah Turner</t>
  </si>
  <si>
    <t>Isaac Walker</t>
  </si>
  <si>
    <t>Lily Wright</t>
  </si>
  <si>
    <t>David Collins</t>
  </si>
  <si>
    <t>Sarah Edwards</t>
  </si>
  <si>
    <t>Christopher Morgan</t>
  </si>
  <si>
    <t>Amelia Kelly</t>
  </si>
  <si>
    <t>Andrew Martinez</t>
  </si>
  <si>
    <t>Chloe Rivera</t>
  </si>
  <si>
    <t>Nathan Cooper</t>
  </si>
  <si>
    <t>Victoria Gray</t>
  </si>
  <si>
    <t>Jonathan Reed</t>
  </si>
  <si>
    <t>Zoey Jenkins</t>
  </si>
  <si>
    <t>Caleb Howard</t>
  </si>
  <si>
    <t>Natalie Fisher</t>
  </si>
  <si>
    <t>Joshua Wood</t>
  </si>
  <si>
    <t>Gabriella Bell</t>
  </si>
  <si>
    <t>William Brooks</t>
  </si>
  <si>
    <t>Emily Hayes</t>
  </si>
  <si>
    <t>Anthony Carter</t>
  </si>
  <si>
    <t>Layla Simmons</t>
  </si>
  <si>
    <t>Emmanuel Mitchell</t>
  </si>
  <si>
    <t>Nora Bailey</t>
  </si>
  <si>
    <t>Joseph Bennett</t>
  </si>
  <si>
    <t>Aria Hughes</t>
  </si>
  <si>
    <t>James Foster</t>
  </si>
  <si>
    <t>Elizabeth Bryant</t>
  </si>
  <si>
    <t>Lucas Rogers</t>
  </si>
  <si>
    <t>Naomi Campbell</t>
  </si>
  <si>
    <t>Adam Sanders</t>
  </si>
  <si>
    <t>Jasmine Barnes</t>
  </si>
  <si>
    <t>Male</t>
  </si>
  <si>
    <t>Female</t>
  </si>
  <si>
    <t>Student</t>
  </si>
  <si>
    <t>Application Status</t>
  </si>
  <si>
    <t>Age</t>
  </si>
  <si>
    <t>Date Of Birth</t>
  </si>
  <si>
    <t>OLD LEGENDS CLUB</t>
  </si>
  <si>
    <t>Application Date</t>
  </si>
  <si>
    <t>Title</t>
  </si>
  <si>
    <t>Mr</t>
  </si>
  <si>
    <t>Miss</t>
  </si>
  <si>
    <t>Mrs</t>
  </si>
  <si>
    <t>VIP Seats</t>
  </si>
  <si>
    <t>Seating Areas  Types</t>
  </si>
  <si>
    <t>Ticket Pricing</t>
  </si>
  <si>
    <t>Regular Seating</t>
  </si>
  <si>
    <t>Regular</t>
  </si>
  <si>
    <t>VIP</t>
  </si>
  <si>
    <t>Area C</t>
  </si>
  <si>
    <t>Price(£)</t>
  </si>
  <si>
    <t xml:space="preserve"> Ticket Expiry Date</t>
  </si>
  <si>
    <t>Concession - OAP</t>
  </si>
  <si>
    <t>Concession -OAP</t>
  </si>
  <si>
    <t>Area C (VIP)</t>
  </si>
  <si>
    <t>Area B (Regular)</t>
  </si>
  <si>
    <t>Area A (Regular)</t>
  </si>
  <si>
    <t>Total Number of Season-Ticket Applications</t>
  </si>
  <si>
    <t>Breakdown Of The Ticket Types By Seating Areas</t>
  </si>
  <si>
    <t>Area C(VIP)</t>
  </si>
  <si>
    <t>Revenue Summary</t>
  </si>
  <si>
    <t>Regular Price</t>
  </si>
  <si>
    <t>VIP Price</t>
  </si>
  <si>
    <t>Ticket Sold (Regular)</t>
  </si>
  <si>
    <t>Ticket Sold (VIP)</t>
  </si>
  <si>
    <t>Total Revenue</t>
  </si>
  <si>
    <t>Total Seats Allocated</t>
  </si>
  <si>
    <t>Total Allocated vs. Unallocated Seats</t>
  </si>
  <si>
    <t>Status</t>
  </si>
  <si>
    <t>Allocated</t>
  </si>
  <si>
    <t>Unallocated</t>
  </si>
  <si>
    <t>Count</t>
  </si>
  <si>
    <t>Ticket Type With Prices</t>
  </si>
  <si>
    <t>Ticket Restrictions ( Rules Tables)</t>
  </si>
  <si>
    <t>Available Seats Per Area</t>
  </si>
  <si>
    <t>Total Seats</t>
  </si>
  <si>
    <t>Regular Seats Available</t>
  </si>
  <si>
    <t>VIP Seats Available</t>
  </si>
  <si>
    <t>Age limit</t>
  </si>
  <si>
    <t>18+</t>
  </si>
  <si>
    <t>Under 18</t>
  </si>
  <si>
    <t>60+</t>
  </si>
  <si>
    <t>16+</t>
  </si>
  <si>
    <t>Additional Restrictions</t>
  </si>
  <si>
    <t>None</t>
  </si>
  <si>
    <t>Must be with an Adult</t>
  </si>
  <si>
    <t>Proof of age required</t>
  </si>
  <si>
    <t>Valid student ID needed</t>
  </si>
  <si>
    <t>N/A</t>
  </si>
  <si>
    <t>Seat Availability</t>
  </si>
  <si>
    <t>Eleanor Foster</t>
  </si>
  <si>
    <t>Michael Hayes</t>
  </si>
  <si>
    <t>Daniel Carter</t>
  </si>
  <si>
    <t>Margaret Owens</t>
  </si>
  <si>
    <t>Arthur Bennett</t>
  </si>
  <si>
    <t>Gloria Simmons</t>
  </si>
  <si>
    <t>Lucas Martin</t>
  </si>
  <si>
    <t>Emily Thompson</t>
  </si>
  <si>
    <t>Noah Richardson</t>
  </si>
  <si>
    <t>Sophia White</t>
  </si>
  <si>
    <t>Ethan Scott</t>
  </si>
  <si>
    <t>James Anderson</t>
  </si>
  <si>
    <t>Olivia Brooks</t>
  </si>
  <si>
    <t>Benjamin Parker</t>
  </si>
  <si>
    <t>Charlotte Evans</t>
  </si>
  <si>
    <t>Ryan Mitchell</t>
  </si>
  <si>
    <t>Ava Harrison</t>
  </si>
  <si>
    <t>David Wilson</t>
  </si>
  <si>
    <t>Hannah Lewis</t>
  </si>
  <si>
    <t>Jacob Turner</t>
  </si>
  <si>
    <t>Isabella Cooper</t>
  </si>
  <si>
    <t>Matthew Hall</t>
  </si>
  <si>
    <t>Lion's Roar Stand - 60 Seats</t>
  </si>
  <si>
    <t>Successful</t>
  </si>
  <si>
    <t>Unsuccessful</t>
  </si>
  <si>
    <t>Pending</t>
  </si>
  <si>
    <t>Unique Application Code</t>
  </si>
  <si>
    <t>Total Pending Application</t>
  </si>
  <si>
    <t>Allocated Seating Area</t>
  </si>
  <si>
    <t>Requested Seating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</si>
</sst>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£&quot;#,##0_);[Red]\(&quot;£&quot;#,##0\)"/>
    <numFmt numFmtId="164" formatCode="&quot;£&quot;#,##0;[Red]\-&quot;£&quot;#,##0"/>
    <numFmt numFmtId="165" formatCode="_-&quot;£&quot;* #,##0.00_-;\-&quot;£&quot;* #,##0.00_-;_-&quot;£&quot;* &quot;-&quot;??_-;_-@_-"/>
    <numFmt numFmtId="166" formatCode="_-[$£-809]* #,##0.00_-;\-[$£-809]* #,##0.00_-;_-[$£-809]* &quot;-&quot;??_-;_-@_-"/>
  </numFmts>
  <fonts count="14">
    <font>
      <sz val="11"/>
      <color theme="1"/>
      <name val="Aptos Narrow"/>
      <family val="2"/>
      <scheme val="minor"/>
    </font>
    <font>
      <sz val="24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4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-webkit-standard"/>
    </font>
    <font>
      <sz val="11"/>
      <color rgb="FF000000"/>
      <name val="Aptos Narrow"/>
    </font>
    <font>
      <b/>
      <sz val="16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5" fontId="10" fillId="0" borderId="0" applyFont="0" applyFill="0" applyBorder="0" applyAlignment="0" applyProtection="0"/>
  </cellStyleXfs>
  <cellXfs count="5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4" borderId="1" xfId="0" applyFont="1" applyFill="1" applyBorder="1"/>
    <xf numFmtId="0" fontId="2" fillId="6" borderId="1" xfId="0" applyFont="1" applyFill="1" applyBorder="1"/>
    <xf numFmtId="14" fontId="0" fillId="0" borderId="1" xfId="0" applyNumberFormat="1" applyBorder="1"/>
    <xf numFmtId="0" fontId="1" fillId="0" borderId="0" xfId="0" applyFont="1" applyAlignment="1">
      <alignment horizontal="center"/>
    </xf>
    <xf numFmtId="0" fontId="5" fillId="0" borderId="0" xfId="0" applyFont="1"/>
    <xf numFmtId="0" fontId="0" fillId="8" borderId="2" xfId="0" applyFill="1" applyBorder="1"/>
    <xf numFmtId="0" fontId="0" fillId="8" borderId="8" xfId="0" applyFill="1" applyBorder="1"/>
    <xf numFmtId="0" fontId="0" fillId="8" borderId="3" xfId="0" applyFill="1" applyBorder="1"/>
    <xf numFmtId="0" fontId="0" fillId="8" borderId="4" xfId="0" applyFill="1" applyBorder="1"/>
    <xf numFmtId="6" fontId="0" fillId="8" borderId="1" xfId="0" applyNumberFormat="1" applyFill="1" applyBorder="1"/>
    <xf numFmtId="6" fontId="0" fillId="8" borderId="5" xfId="0" applyNumberFormat="1" applyFill="1" applyBorder="1"/>
    <xf numFmtId="0" fontId="0" fillId="8" borderId="6" xfId="0" applyFill="1" applyBorder="1"/>
    <xf numFmtId="0" fontId="0" fillId="8" borderId="9" xfId="0" applyFill="1" applyBorder="1"/>
    <xf numFmtId="0" fontId="0" fillId="8" borderId="7" xfId="0" applyFill="1" applyBorder="1"/>
    <xf numFmtId="0" fontId="0" fillId="9" borderId="4" xfId="0" applyFill="1" applyBorder="1"/>
    <xf numFmtId="0" fontId="0" fillId="9" borderId="1" xfId="0" applyFill="1" applyBorder="1"/>
    <xf numFmtId="0" fontId="0" fillId="9" borderId="5" xfId="0" applyFill="1" applyBorder="1"/>
    <xf numFmtId="6" fontId="0" fillId="9" borderId="1" xfId="0" applyNumberFormat="1" applyFill="1" applyBorder="1"/>
    <xf numFmtId="0" fontId="0" fillId="9" borderId="13" xfId="0" applyFill="1" applyBorder="1"/>
    <xf numFmtId="6" fontId="0" fillId="9" borderId="14" xfId="0" applyNumberFormat="1" applyFill="1" applyBorder="1"/>
    <xf numFmtId="6" fontId="0" fillId="9" borderId="15" xfId="0" applyNumberFormat="1" applyFill="1" applyBorder="1"/>
    <xf numFmtId="0" fontId="0" fillId="8" borderId="1" xfId="0" applyFill="1" applyBorder="1"/>
    <xf numFmtId="0" fontId="7" fillId="4" borderId="1" xfId="0" applyFont="1" applyFill="1" applyBorder="1"/>
    <xf numFmtId="0" fontId="8" fillId="4" borderId="1" xfId="0" applyFont="1" applyFill="1" applyBorder="1"/>
    <xf numFmtId="0" fontId="2" fillId="0" borderId="0" xfId="0" applyFont="1"/>
    <xf numFmtId="0" fontId="0" fillId="3" borderId="1" xfId="0" applyFill="1" applyBorder="1"/>
    <xf numFmtId="0" fontId="2" fillId="0" borderId="0" xfId="0" applyFont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3" borderId="0" xfId="0" applyFill="1" applyAlignment="1">
      <alignment horizontal="center"/>
    </xf>
    <xf numFmtId="0" fontId="7" fillId="4" borderId="19" xfId="0" applyFont="1" applyFill="1" applyBorder="1"/>
    <xf numFmtId="0" fontId="11" fillId="0" borderId="0" xfId="0" applyFont="1"/>
    <xf numFmtId="0" fontId="9" fillId="0" borderId="1" xfId="0" applyFont="1" applyBorder="1"/>
    <xf numFmtId="0" fontId="0" fillId="6" borderId="1" xfId="0" applyFill="1" applyBorder="1"/>
    <xf numFmtId="0" fontId="0" fillId="7" borderId="1" xfId="0" applyFill="1" applyBorder="1"/>
    <xf numFmtId="0" fontId="11" fillId="0" borderId="1" xfId="0" applyFont="1" applyBorder="1"/>
    <xf numFmtId="165" fontId="0" fillId="0" borderId="1" xfId="1" applyFont="1" applyBorder="1" applyProtection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Total</a:t>
            </a:r>
            <a:r>
              <a:rPr lang="en-GB" baseline="0"/>
              <a:t> Applications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GB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10-564E-A6D4-570B658DB735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10-564E-A6D4-570B658DB735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10-564E-A6D4-570B658DB735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610-564E-A6D4-570B658DB7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'Summary of information'!$A$11:$A$14</c:f>
              <c:strCache>
                <c:ptCount val="4"/>
                <c:pt idx="0">
                  <c:v>Adult</c:v>
                </c:pt>
                <c:pt idx="1">
                  <c:v>Child</c:v>
                </c:pt>
                <c:pt idx="2">
                  <c:v>Concession - OAP</c:v>
                </c:pt>
                <c:pt idx="3">
                  <c:v>Student</c:v>
                </c:pt>
              </c:strCache>
            </c:strRef>
          </c:cat>
          <c:val>
            <c:numRef>
              <c:f>'Summary of information'!$B$11:$B$14</c:f>
              <c:numCache>
                <c:formatCode>General</c:formatCode>
                <c:ptCount val="4"/>
                <c:pt idx="0">
                  <c:v>31</c:v>
                </c:pt>
                <c:pt idx="1">
                  <c:v>11</c:v>
                </c:pt>
                <c:pt idx="2">
                  <c:v>13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B6-428A-86EF-99981EFF6BE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of information'!$B$18</c:f>
              <c:strCache>
                <c:ptCount val="1"/>
                <c:pt idx="0">
                  <c:v>Total Seats Allocated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'Summary of information'!$A$19:$A$21</c:f>
              <c:strCache>
                <c:ptCount val="3"/>
                <c:pt idx="0">
                  <c:v>Area A (Regular)</c:v>
                </c:pt>
                <c:pt idx="1">
                  <c:v>Area B (Regular)</c:v>
                </c:pt>
                <c:pt idx="2">
                  <c:v>Area C (VIP)</c:v>
                </c:pt>
              </c:strCache>
            </c:strRef>
          </c:cat>
          <c:val>
            <c:numRef>
              <c:f>'Summary of information'!$B$19:$B$21</c:f>
              <c:numCache>
                <c:formatCode>General</c:formatCode>
                <c:ptCount val="3"/>
                <c:pt idx="0">
                  <c:v>21</c:v>
                </c:pt>
                <c:pt idx="1">
                  <c:v>22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9-8248-9D40-34A0B7E55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72622928"/>
        <c:axId val="250869471"/>
      </c:barChart>
      <c:catAx>
        <c:axId val="187262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9471"/>
        <c:crosses val="autoZero"/>
        <c:auto val="1"/>
        <c:lblAlgn val="ctr"/>
        <c:lblOffset val="100"/>
        <c:noMultiLvlLbl val="0"/>
      </c:catAx>
      <c:valAx>
        <c:axId val="25086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6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of information'!$F$38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of information'!$A$39:$A$43</c:f>
              <c:strCache>
                <c:ptCount val="5"/>
                <c:pt idx="0">
                  <c:v>Adult</c:v>
                </c:pt>
                <c:pt idx="1">
                  <c:v>Child</c:v>
                </c:pt>
                <c:pt idx="2">
                  <c:v>Concession - OAP</c:v>
                </c:pt>
                <c:pt idx="3">
                  <c:v>Student</c:v>
                </c:pt>
                <c:pt idx="4">
                  <c:v>Total</c:v>
                </c:pt>
              </c:strCache>
            </c:strRef>
          </c:cat>
          <c:val>
            <c:numRef>
              <c:f>'Summary of information'!$F$39:$F$43</c:f>
              <c:numCache>
                <c:formatCode>_-"£"* #,##0.00_-;\-"£"* #,##0.00_-;_-"£"* "-"??_-;_-@_-</c:formatCode>
                <c:ptCount val="5"/>
                <c:pt idx="0">
                  <c:v>17139</c:v>
                </c:pt>
                <c:pt idx="1">
                  <c:v>4816</c:v>
                </c:pt>
                <c:pt idx="2">
                  <c:v>7265</c:v>
                </c:pt>
                <c:pt idx="3">
                  <c:v>4747</c:v>
                </c:pt>
                <c:pt idx="4">
                  <c:v>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E0-49CA-88A0-413C26B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996751"/>
        <c:axId val="237984751"/>
      </c:barChart>
      <c:catAx>
        <c:axId val="23799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84751"/>
        <c:crosses val="autoZero"/>
        <c:auto val="1"/>
        <c:lblAlgn val="ctr"/>
        <c:lblOffset val="100"/>
        <c:noMultiLvlLbl val="0"/>
      </c:catAx>
      <c:valAx>
        <c:axId val="2379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£&quot;* #,##0.00_-;\-&quot;£&quot;* #,##0.00_-;_-&quot;£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9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1</xdr:row>
      <xdr:rowOff>123825</xdr:rowOff>
    </xdr:from>
    <xdr:to>
      <xdr:col>9</xdr:col>
      <xdr:colOff>47434</xdr:colOff>
      <xdr:row>16</xdr:row>
      <xdr:rowOff>58535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16C6D4E-1E52-9241-78CF-F9F9EEF6B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0" y="523875"/>
          <a:ext cx="5121084" cy="27922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165100</xdr:rowOff>
        </xdr:from>
        <xdr:to>
          <xdr:col>13</xdr:col>
          <xdr:colOff>317500</xdr:colOff>
          <xdr:row>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Ticket-Holder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152400</xdr:rowOff>
        </xdr:from>
        <xdr:to>
          <xdr:col>13</xdr:col>
          <xdr:colOff>292100</xdr:colOff>
          <xdr:row>11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Summary of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13</xdr:row>
          <xdr:rowOff>25400</xdr:rowOff>
        </xdr:from>
        <xdr:to>
          <xdr:col>13</xdr:col>
          <xdr:colOff>215900</xdr:colOff>
          <xdr:row>16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Season-ticket type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558800</xdr:colOff>
          <xdr:row>17</xdr:row>
          <xdr:rowOff>25400</xdr:rowOff>
        </xdr:from>
        <xdr:to>
          <xdr:col>13</xdr:col>
          <xdr:colOff>215900</xdr:colOff>
          <xdr:row>20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 and 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4</xdr:row>
      <xdr:rowOff>148590</xdr:rowOff>
    </xdr:from>
    <xdr:to>
      <xdr:col>9</xdr:col>
      <xdr:colOff>38100</xdr:colOff>
      <xdr:row>19</xdr:row>
      <xdr:rowOff>148590</xdr:rowOff>
    </xdr:to>
    <xdr:graphicFrame macro="">
      <xdr:nvGraphicFramePr>
        <xdr:cNvPr id="39" name="Chart 4">
          <a:extLst>
            <a:ext uri="{FF2B5EF4-FFF2-40B4-BE49-F238E27FC236}">
              <a16:creationId xmlns:a16="http://schemas.microsoft.com/office/drawing/2014/main" id="{39261954-DB65-3A19-04BC-C354A967A5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4</xdr:row>
      <xdr:rowOff>101600</xdr:rowOff>
    </xdr:from>
    <xdr:to>
      <xdr:col>16</xdr:col>
      <xdr:colOff>292100</xdr:colOff>
      <xdr:row>19</xdr:row>
      <xdr:rowOff>152400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32D5B41D-B208-8218-58FF-CF0787D185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388620</xdr:colOff>
      <xdr:row>21</xdr:row>
      <xdr:rowOff>133350</xdr:rowOff>
    </xdr:from>
    <xdr:to>
      <xdr:col>14</xdr:col>
      <xdr:colOff>83820</xdr:colOff>
      <xdr:row>36</xdr:row>
      <xdr:rowOff>133350</xdr:rowOff>
    </xdr:to>
    <xdr:graphicFrame macro="">
      <xdr:nvGraphicFramePr>
        <xdr:cNvPr id="43" name="Chart 1">
          <a:extLst>
            <a:ext uri="{FF2B5EF4-FFF2-40B4-BE49-F238E27FC236}">
              <a16:creationId xmlns:a16="http://schemas.microsoft.com/office/drawing/2014/main" id="{01FF21BA-36BB-EF22-52FB-ADEC28FFC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8"/>
  <sheetViews>
    <sheetView workbookViewId="0">
      <selection activeCell="H30" sqref="H30"/>
    </sheetView>
  </sheetViews>
  <sheetFormatPr baseColWidth="10" defaultColWidth="8.6640625" defaultRowHeight="15"/>
  <cols>
    <col min="3" max="3" width="17.83203125" customWidth="1"/>
    <col min="4" max="4" width="3.83203125" customWidth="1"/>
    <col min="6" max="6" width="16.5" customWidth="1"/>
    <col min="7" max="7" width="11.5" customWidth="1"/>
  </cols>
  <sheetData>
    <row r="1" spans="1:20" ht="32">
      <c r="A1" s="40" t="s">
        <v>75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6"/>
      <c r="O1" s="6"/>
      <c r="P1" s="6"/>
      <c r="Q1" s="6"/>
      <c r="R1" s="6"/>
      <c r="S1" s="6"/>
      <c r="T1" s="6"/>
    </row>
    <row r="10" spans="1:20">
      <c r="O10" s="7"/>
    </row>
    <row r="11" spans="1:20">
      <c r="L11" s="7"/>
    </row>
    <row r="18" spans="3:9" ht="19">
      <c r="F18" s="41" t="s">
        <v>150</v>
      </c>
      <c r="G18" s="41"/>
      <c r="H18" s="41"/>
      <c r="I18" s="41"/>
    </row>
    <row r="19" spans="3:9" ht="16" thickBot="1">
      <c r="C19" s="45" t="s">
        <v>82</v>
      </c>
      <c r="D19" s="45"/>
    </row>
    <row r="20" spans="3:9">
      <c r="C20" s="36" t="s">
        <v>113</v>
      </c>
      <c r="D20" s="36">
        <v>60</v>
      </c>
      <c r="F20" s="8" t="s">
        <v>83</v>
      </c>
      <c r="G20" s="9" t="s">
        <v>85</v>
      </c>
      <c r="H20" s="10" t="s">
        <v>86</v>
      </c>
    </row>
    <row r="21" spans="3:9">
      <c r="C21" s="37" t="s">
        <v>81</v>
      </c>
      <c r="D21" s="37">
        <f>D20*75%</f>
        <v>45</v>
      </c>
      <c r="F21" s="17" t="s">
        <v>13</v>
      </c>
      <c r="G21" s="20">
        <v>759</v>
      </c>
      <c r="H21" s="20">
        <v>999</v>
      </c>
    </row>
    <row r="22" spans="3:9">
      <c r="C22" s="36" t="s">
        <v>84</v>
      </c>
      <c r="D22" s="36">
        <f>D20*25%</f>
        <v>15</v>
      </c>
      <c r="F22" s="11" t="s">
        <v>14</v>
      </c>
      <c r="G22" s="12">
        <v>498</v>
      </c>
      <c r="H22" s="13">
        <v>665</v>
      </c>
    </row>
    <row r="23" spans="3:9">
      <c r="F23" s="21" t="s">
        <v>90</v>
      </c>
      <c r="G23" s="22">
        <v>515</v>
      </c>
      <c r="H23" s="23">
        <v>705</v>
      </c>
    </row>
    <row r="24" spans="3:9">
      <c r="F24" s="24" t="s">
        <v>71</v>
      </c>
      <c r="G24" s="12">
        <v>405</v>
      </c>
      <c r="H24" s="12">
        <v>695</v>
      </c>
    </row>
    <row r="25" spans="3:9" ht="16" thickBot="1"/>
    <row r="26" spans="3:9">
      <c r="F26" s="42" t="s">
        <v>17</v>
      </c>
      <c r="G26" s="43"/>
      <c r="H26" s="44"/>
    </row>
    <row r="27" spans="3:9">
      <c r="F27" s="17" t="s">
        <v>85</v>
      </c>
      <c r="G27" s="18" t="s">
        <v>18</v>
      </c>
      <c r="H27" s="19" t="s">
        <v>87</v>
      </c>
    </row>
    <row r="28" spans="3:9" ht="16" thickBot="1">
      <c r="F28" s="14" t="s">
        <v>86</v>
      </c>
      <c r="G28" s="15" t="s">
        <v>19</v>
      </c>
      <c r="H28" s="16"/>
    </row>
  </sheetData>
  <mergeCells count="4">
    <mergeCell ref="A1:M1"/>
    <mergeCell ref="F18:I18"/>
    <mergeCell ref="F26:H26"/>
    <mergeCell ref="C19:D19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icketHolderDetails">
                <anchor moveWithCells="1" sizeWithCells="1">
                  <from>
                    <xdr:col>11</xdr:col>
                    <xdr:colOff>0</xdr:colOff>
                    <xdr:row>2</xdr:row>
                    <xdr:rowOff>165100</xdr:rowOff>
                  </from>
                  <to>
                    <xdr:col>13</xdr:col>
                    <xdr:colOff>317500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ummaryOfInformation">
                <anchor moveWithCells="1" sizeWithCells="1">
                  <from>
                    <xdr:col>11</xdr:col>
                    <xdr:colOff>0</xdr:colOff>
                    <xdr:row>7</xdr:row>
                    <xdr:rowOff>152400</xdr:rowOff>
                  </from>
                  <to>
                    <xdr:col>13</xdr:col>
                    <xdr:colOff>292100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easonTicketTypeDetails">
                <anchor moveWithCells="1" sizeWithCells="1">
                  <from>
                    <xdr:col>11</xdr:col>
                    <xdr:colOff>12700</xdr:colOff>
                    <xdr:row>13</xdr:row>
                    <xdr:rowOff>25400</xdr:rowOff>
                  </from>
                  <to>
                    <xdr:col>13</xdr:col>
                    <xdr:colOff>215900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aveandclose">
                <anchor moveWithCells="1" sizeWithCells="1">
                  <from>
                    <xdr:col>10</xdr:col>
                    <xdr:colOff>558800</xdr:colOff>
                    <xdr:row>17</xdr:row>
                    <xdr:rowOff>25400</xdr:rowOff>
                  </from>
                  <to>
                    <xdr:col>13</xdr:col>
                    <xdr:colOff>215900</xdr:colOff>
                    <xdr:row>20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72"/>
  <sheetViews>
    <sheetView topLeftCell="J1" zoomScale="105" zoomScaleNormal="105" workbookViewId="0">
      <selection activeCell="P14" sqref="P14"/>
    </sheetView>
  </sheetViews>
  <sheetFormatPr baseColWidth="10" defaultColWidth="8.6640625" defaultRowHeight="15"/>
  <cols>
    <col min="1" max="1" width="24" customWidth="1"/>
    <col min="2" max="2" width="5.5" customWidth="1"/>
    <col min="3" max="3" width="17.5" customWidth="1"/>
    <col min="4" max="4" width="8.1640625" customWidth="1"/>
    <col min="5" max="5" width="18.33203125" customWidth="1"/>
    <col min="6" max="6" width="6.5" customWidth="1"/>
    <col min="7" max="7" width="15.5" customWidth="1"/>
    <col min="8" max="8" width="16.5" customWidth="1"/>
    <col min="9" max="9" width="22.5" customWidth="1"/>
    <col min="10" max="10" width="23.5" customWidth="1"/>
    <col min="11" max="11" width="8.83203125" customWidth="1"/>
    <col min="12" max="12" width="18.5" customWidth="1"/>
    <col min="13" max="13" width="18.1640625" customWidth="1"/>
    <col min="14" max="14" width="16.5" customWidth="1"/>
    <col min="15" max="15" width="16.6640625" customWidth="1"/>
    <col min="16" max="16" width="18.83203125" customWidth="1"/>
  </cols>
  <sheetData>
    <row r="1" spans="1:16" ht="26" customHeight="1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6">
      <c r="A2" s="25" t="s">
        <v>154</v>
      </c>
      <c r="B2" s="25" t="s">
        <v>77</v>
      </c>
      <c r="C2" s="25" t="s">
        <v>1</v>
      </c>
      <c r="D2" s="25" t="s">
        <v>2</v>
      </c>
      <c r="E2" s="25" t="s">
        <v>74</v>
      </c>
      <c r="F2" s="25" t="s">
        <v>73</v>
      </c>
      <c r="G2" s="25" t="s">
        <v>3</v>
      </c>
      <c r="H2" s="25" t="s">
        <v>76</v>
      </c>
      <c r="I2" s="25" t="s">
        <v>4</v>
      </c>
      <c r="J2" s="25" t="s">
        <v>157</v>
      </c>
      <c r="K2" s="25" t="s">
        <v>88</v>
      </c>
      <c r="L2" s="25" t="s">
        <v>72</v>
      </c>
      <c r="M2" s="25" t="s">
        <v>5</v>
      </c>
      <c r="N2" s="25" t="s">
        <v>127</v>
      </c>
      <c r="O2" s="33" t="s">
        <v>156</v>
      </c>
      <c r="P2" s="26" t="s">
        <v>89</v>
      </c>
    </row>
    <row r="3" spans="1:16">
      <c r="A3" s="1" t="str">
        <f>IF(I3&lt;&gt;"", UPPER(LEFT(I3, 3)) &amp; TEXT(COUNTIF($I$3:I3, I3), "000"), "")</f>
        <v>CHI001</v>
      </c>
      <c r="B3" s="1" t="s">
        <v>78</v>
      </c>
      <c r="C3" s="1" t="s">
        <v>21</v>
      </c>
      <c r="D3" s="1" t="s">
        <v>69</v>
      </c>
      <c r="E3" s="5">
        <v>41627</v>
      </c>
      <c r="F3" s="1">
        <f t="array" aca="1" ref="F3:F50" ca="1">DATEDIF(E3:E50,TODAY(),"y")</f>
        <v>11</v>
      </c>
      <c r="G3" s="1">
        <v>7123456789</v>
      </c>
      <c r="H3" s="5">
        <v>45632</v>
      </c>
      <c r="I3" s="1" t="s">
        <v>14</v>
      </c>
      <c r="J3" s="1" t="s">
        <v>18</v>
      </c>
      <c r="K3" s="31" cm="1">
        <f t="array" ref="K3">INDEX('Switch Board'!$G$21:$H$24, MATCH(I3, {"Adult","Child","Concession - OAP","Student"}, 0), IF(J3="Area C", 2, 1))</f>
        <v>498</v>
      </c>
      <c r="L3" s="1" t="s">
        <v>151</v>
      </c>
      <c r="M3" s="1"/>
      <c r="N3" s="1" t="str">
        <f t="shared" ref="N3:N34" si="0">IF(L3="Successful", "Available", IF(L3="Pending", "N/A", IF(L3="Unsuccessful", "Not Available", "")))</f>
        <v>Available</v>
      </c>
      <c r="O3" s="1" t="str">
        <f t="shared" ref="O3:O34" si="1">IF(L3="Successful", J3, "N/A")</f>
        <v>Area A</v>
      </c>
      <c r="P3" s="5">
        <f>EDATE(H3, 6)</f>
        <v>45814</v>
      </c>
    </row>
    <row r="4" spans="1:16">
      <c r="A4" s="1" t="str">
        <f>IF(I4&lt;&gt;"", UPPER(LEFT(I4, 3)) &amp; TEXT(COUNTIF($I$3:I4, I4), "000"), "")</f>
        <v>ADU001</v>
      </c>
      <c r="B4" s="1" t="s">
        <v>79</v>
      </c>
      <c r="C4" s="1" t="s">
        <v>22</v>
      </c>
      <c r="D4" s="1" t="s">
        <v>70</v>
      </c>
      <c r="E4" s="5">
        <v>29217</v>
      </c>
      <c r="F4" s="1">
        <f ca="1"/>
        <v>45</v>
      </c>
      <c r="G4" s="1">
        <v>7234567890</v>
      </c>
      <c r="H4" s="5">
        <v>45637</v>
      </c>
      <c r="I4" s="1" t="s">
        <v>13</v>
      </c>
      <c r="J4" s="1" t="s">
        <v>87</v>
      </c>
      <c r="K4" s="31" cm="1">
        <f t="array" ref="K4">INDEX('Switch Board'!$G$21:$H$24, MATCH(I4, {"Adult","Child","Concession - OAP","Student"}, 0), IF(J4="Area C", 2, 1))</f>
        <v>999</v>
      </c>
      <c r="L4" s="1" t="s">
        <v>153</v>
      </c>
      <c r="M4" s="1"/>
      <c r="N4" s="1" t="str">
        <f t="shared" si="0"/>
        <v>N/A</v>
      </c>
      <c r="O4" s="1" t="str">
        <f t="shared" si="1"/>
        <v>N/A</v>
      </c>
      <c r="P4" s="5">
        <f t="shared" ref="P4:P50" si="2">EDATE(H4, 6)</f>
        <v>45819</v>
      </c>
    </row>
    <row r="5" spans="1:16">
      <c r="A5" s="1" t="str">
        <f>IF(I5&lt;&gt;"", UPPER(LEFT(I5, 3)) &amp; TEXT(COUNTIF($I$3:I5, I5), "000"), "")</f>
        <v>ADU002</v>
      </c>
      <c r="B5" s="1" t="s">
        <v>78</v>
      </c>
      <c r="C5" s="1" t="s">
        <v>23</v>
      </c>
      <c r="D5" s="1" t="s">
        <v>69</v>
      </c>
      <c r="E5" s="5">
        <v>35002</v>
      </c>
      <c r="F5" s="1">
        <f ca="1"/>
        <v>29</v>
      </c>
      <c r="G5" s="1">
        <v>7345678901</v>
      </c>
      <c r="H5" s="5">
        <v>45639</v>
      </c>
      <c r="I5" s="1" t="s">
        <v>13</v>
      </c>
      <c r="J5" s="1" t="s">
        <v>19</v>
      </c>
      <c r="K5" s="31" cm="1">
        <f t="array" ref="K5">INDEX('Switch Board'!$G$21:$H$24, MATCH(I5, {"Adult","Child","Concession - OAP","Student"}, 0), IF(J5="Area C", 2, 1))</f>
        <v>759</v>
      </c>
      <c r="L5" s="1" t="s">
        <v>151</v>
      </c>
      <c r="N5" s="1" t="str">
        <f t="shared" si="0"/>
        <v>Available</v>
      </c>
      <c r="O5" s="1" t="str">
        <f t="shared" si="1"/>
        <v>Area B</v>
      </c>
      <c r="P5" s="5">
        <f t="shared" si="2"/>
        <v>45821</v>
      </c>
    </row>
    <row r="6" spans="1:16">
      <c r="A6" s="1" t="str">
        <f>IF(I6&lt;&gt;"", UPPER(LEFT(I6, 3)) &amp; TEXT(COUNTIF($I$3:I6, I6), "000"), "")</f>
        <v>CON001</v>
      </c>
      <c r="B6" s="1" t="s">
        <v>79</v>
      </c>
      <c r="C6" s="1" t="s">
        <v>24</v>
      </c>
      <c r="D6" s="1" t="s">
        <v>70</v>
      </c>
      <c r="E6" s="5">
        <v>5363</v>
      </c>
      <c r="F6" s="1">
        <f ca="1"/>
        <v>110</v>
      </c>
      <c r="G6" s="1">
        <v>7456789012</v>
      </c>
      <c r="H6" s="5">
        <v>45641</v>
      </c>
      <c r="I6" s="1" t="s">
        <v>90</v>
      </c>
      <c r="J6" s="1" t="s">
        <v>18</v>
      </c>
      <c r="K6" s="31" cm="1">
        <f t="array" ref="K6">INDEX('Switch Board'!$G$21:$H$24, MATCH(I6, {"Adult","Child","Concession - OAP","Student"}, 0), IF(J6="Area C", 2, 1))</f>
        <v>515</v>
      </c>
      <c r="L6" s="1" t="s">
        <v>151</v>
      </c>
      <c r="M6" s="1"/>
      <c r="N6" s="1" t="str">
        <f t="shared" si="0"/>
        <v>Available</v>
      </c>
      <c r="O6" s="1" t="str">
        <f t="shared" si="1"/>
        <v>Area A</v>
      </c>
      <c r="P6" s="5">
        <f t="shared" si="2"/>
        <v>45823</v>
      </c>
    </row>
    <row r="7" spans="1:16">
      <c r="A7" s="1" t="str">
        <f>IF(I7&lt;&gt;"", UPPER(LEFT(I7, 3)) &amp; TEXT(COUNTIF($I$3:I7, I7), "000"), "")</f>
        <v>STU001</v>
      </c>
      <c r="B7" s="1" t="s">
        <v>78</v>
      </c>
      <c r="C7" s="1" t="s">
        <v>25</v>
      </c>
      <c r="D7" s="1" t="s">
        <v>69</v>
      </c>
      <c r="E7" s="5">
        <v>37658</v>
      </c>
      <c r="F7" s="1">
        <f ca="1"/>
        <v>22</v>
      </c>
      <c r="G7" s="1">
        <v>7567890123</v>
      </c>
      <c r="H7" s="5">
        <v>45652</v>
      </c>
      <c r="I7" s="1" t="s">
        <v>71</v>
      </c>
      <c r="J7" s="1" t="s">
        <v>87</v>
      </c>
      <c r="K7" s="31" cm="1">
        <f t="array" ref="K7">INDEX('Switch Board'!$G$21:$H$24, MATCH(I7, {"Adult","Child","Concession - OAP","Student"}, 0), IF(J7="Area C", 2, 1))</f>
        <v>695</v>
      </c>
      <c r="L7" s="1" t="s">
        <v>152</v>
      </c>
      <c r="M7" s="1"/>
      <c r="N7" s="1" t="str">
        <f t="shared" si="0"/>
        <v>Not Available</v>
      </c>
      <c r="O7" s="1" t="str">
        <f t="shared" si="1"/>
        <v>N/A</v>
      </c>
      <c r="P7" s="5">
        <f t="shared" si="2"/>
        <v>45834</v>
      </c>
    </row>
    <row r="8" spans="1:16">
      <c r="A8" s="1" t="str">
        <f>IF(I8&lt;&gt;"", UPPER(LEFT(I8, 3)) &amp; TEXT(COUNTIF($I$3:I8, I8), "000"), "")</f>
        <v>ADU003</v>
      </c>
      <c r="B8" s="1" t="s">
        <v>80</v>
      </c>
      <c r="C8" s="1" t="s">
        <v>26</v>
      </c>
      <c r="D8" s="1" t="s">
        <v>70</v>
      </c>
      <c r="E8" s="5">
        <v>34269</v>
      </c>
      <c r="F8" s="1">
        <f ca="1"/>
        <v>31</v>
      </c>
      <c r="G8" s="1">
        <v>7678901234</v>
      </c>
      <c r="H8" s="5">
        <v>45655</v>
      </c>
      <c r="I8" s="1" t="s">
        <v>13</v>
      </c>
      <c r="J8" s="1" t="s">
        <v>87</v>
      </c>
      <c r="K8" s="31" cm="1">
        <f t="array" ref="K8">INDEX('Switch Board'!$G$21:$H$24, MATCH(I8, {"Adult","Child","Concession - OAP","Student"}, 0), IF(J8="Area C", 2, 1))</f>
        <v>999</v>
      </c>
      <c r="L8" s="1" t="s">
        <v>152</v>
      </c>
      <c r="M8" s="1"/>
      <c r="N8" s="1" t="str">
        <f t="shared" si="0"/>
        <v>Not Available</v>
      </c>
      <c r="O8" s="1" t="str">
        <f t="shared" si="1"/>
        <v>N/A</v>
      </c>
      <c r="P8" s="5">
        <f t="shared" si="2"/>
        <v>45837</v>
      </c>
    </row>
    <row r="9" spans="1:16">
      <c r="A9" s="1" t="str">
        <f>IF(I9&lt;&gt;"", UPPER(LEFT(I9, 3)) &amp; TEXT(COUNTIF($I$3:I9, I9), "000"), "")</f>
        <v>ADU004</v>
      </c>
      <c r="B9" s="1" t="s">
        <v>78</v>
      </c>
      <c r="C9" s="1" t="s">
        <v>27</v>
      </c>
      <c r="D9" s="1" t="s">
        <v>69</v>
      </c>
      <c r="E9" s="5">
        <v>28076</v>
      </c>
      <c r="F9" s="1">
        <f ca="1"/>
        <v>48</v>
      </c>
      <c r="G9" s="1">
        <v>7789012345</v>
      </c>
      <c r="H9" s="5">
        <v>45663</v>
      </c>
      <c r="I9" s="1" t="s">
        <v>13</v>
      </c>
      <c r="J9" s="1" t="s">
        <v>18</v>
      </c>
      <c r="K9" s="31" cm="1">
        <f t="array" ref="K9">INDEX('Switch Board'!$G$21:$H$24, MATCH(I9, {"Adult","Child","Concession - OAP","Student"}, 0), IF(J9="Area C", 2, 1))</f>
        <v>759</v>
      </c>
      <c r="L9" s="1" t="s">
        <v>151</v>
      </c>
      <c r="M9" s="1"/>
      <c r="N9" s="1" t="str">
        <f t="shared" si="0"/>
        <v>Available</v>
      </c>
      <c r="O9" s="1" t="str">
        <f t="shared" si="1"/>
        <v>Area A</v>
      </c>
      <c r="P9" s="5">
        <f t="shared" si="2"/>
        <v>45844</v>
      </c>
    </row>
    <row r="10" spans="1:16">
      <c r="A10" s="1" t="str">
        <f>IF(I10&lt;&gt;"", UPPER(LEFT(I10, 3)) &amp; TEXT(COUNTIF($I$3:I10, I10), "000"), "")</f>
        <v>ADU005</v>
      </c>
      <c r="B10" s="1" t="s">
        <v>79</v>
      </c>
      <c r="C10" s="1" t="s">
        <v>28</v>
      </c>
      <c r="D10" s="1" t="s">
        <v>70</v>
      </c>
      <c r="E10" s="5">
        <v>34310</v>
      </c>
      <c r="F10" s="1">
        <f ca="1"/>
        <v>31</v>
      </c>
      <c r="G10" s="1">
        <v>7890123456</v>
      </c>
      <c r="H10" s="5">
        <v>45667</v>
      </c>
      <c r="I10" s="1" t="s">
        <v>13</v>
      </c>
      <c r="J10" s="1" t="s">
        <v>19</v>
      </c>
      <c r="K10" s="31" cm="1">
        <f t="array" ref="K10">INDEX('Switch Board'!$G$21:$H$24, MATCH(I10, {"Adult","Child","Concession - OAP","Student"}, 0), IF(J10="Area C", 2, 1))</f>
        <v>759</v>
      </c>
      <c r="L10" s="1" t="s">
        <v>153</v>
      </c>
      <c r="M10" s="1"/>
      <c r="N10" s="1" t="str">
        <f t="shared" si="0"/>
        <v>N/A</v>
      </c>
      <c r="O10" s="1" t="str">
        <f t="shared" si="1"/>
        <v>N/A</v>
      </c>
      <c r="P10" s="5">
        <f t="shared" si="2"/>
        <v>45848</v>
      </c>
    </row>
    <row r="11" spans="1:16">
      <c r="A11" s="1" t="str">
        <f>IF(I11&lt;&gt;"", UPPER(LEFT(I11, 3)) &amp; TEXT(COUNTIF($I$3:I11, I11), "000"), "")</f>
        <v>STU002</v>
      </c>
      <c r="B11" s="1" t="s">
        <v>78</v>
      </c>
      <c r="C11" s="1" t="s">
        <v>29</v>
      </c>
      <c r="D11" s="1" t="s">
        <v>69</v>
      </c>
      <c r="E11" s="5">
        <v>37484</v>
      </c>
      <c r="F11" s="1">
        <f ca="1"/>
        <v>22</v>
      </c>
      <c r="G11" s="1">
        <v>7901234567</v>
      </c>
      <c r="H11" s="5">
        <v>45669</v>
      </c>
      <c r="I11" s="1" t="s">
        <v>71</v>
      </c>
      <c r="J11" s="1" t="s">
        <v>18</v>
      </c>
      <c r="K11" s="31" cm="1">
        <f t="array" ref="K11">INDEX('Switch Board'!$G$21:$H$24, MATCH(I11, {"Adult","Child","Concession - OAP","Student"}, 0), IF(J11="Area C", 2, 1))</f>
        <v>405</v>
      </c>
      <c r="L11" s="1" t="s">
        <v>151</v>
      </c>
      <c r="M11" s="1"/>
      <c r="N11" s="1" t="str">
        <f t="shared" si="0"/>
        <v>Available</v>
      </c>
      <c r="O11" s="1" t="str">
        <f t="shared" si="1"/>
        <v>Area A</v>
      </c>
      <c r="P11" s="5">
        <f t="shared" si="2"/>
        <v>45850</v>
      </c>
    </row>
    <row r="12" spans="1:16">
      <c r="A12" s="1" t="str">
        <f>IF(I12&lt;&gt;"", UPPER(LEFT(I12, 3)) &amp; TEXT(COUNTIF($I$3:I12, I12), "000"), "")</f>
        <v>ADU006</v>
      </c>
      <c r="B12" s="1" t="s">
        <v>79</v>
      </c>
      <c r="C12" s="1" t="s">
        <v>30</v>
      </c>
      <c r="D12" s="1" t="s">
        <v>70</v>
      </c>
      <c r="E12" s="5">
        <v>30502</v>
      </c>
      <c r="F12" s="1">
        <f ca="1"/>
        <v>41</v>
      </c>
      <c r="G12" s="1">
        <v>7111223344</v>
      </c>
      <c r="H12" s="5">
        <v>45670</v>
      </c>
      <c r="I12" s="1" t="s">
        <v>13</v>
      </c>
      <c r="J12" s="1" t="s">
        <v>87</v>
      </c>
      <c r="K12" s="31" cm="1">
        <f t="array" ref="K12">INDEX('Switch Board'!$G$21:$H$24, MATCH(I12, {"Adult","Child","Concession - OAP","Student"}, 0), IF(J12="Area C", 2, 1))</f>
        <v>999</v>
      </c>
      <c r="L12" s="1" t="s">
        <v>152</v>
      </c>
      <c r="M12" s="1"/>
      <c r="N12" s="1" t="str">
        <f t="shared" si="0"/>
        <v>Not Available</v>
      </c>
      <c r="O12" s="1" t="str">
        <f t="shared" si="1"/>
        <v>N/A</v>
      </c>
      <c r="P12" s="5">
        <f t="shared" si="2"/>
        <v>45851</v>
      </c>
    </row>
    <row r="13" spans="1:16">
      <c r="A13" s="1" t="str">
        <f>IF(I13&lt;&gt;"", UPPER(LEFT(I13, 3)) &amp; TEXT(COUNTIF($I$3:I13, I13), "000"), "")</f>
        <v>ADU007</v>
      </c>
      <c r="B13" s="1" t="s">
        <v>78</v>
      </c>
      <c r="C13" s="1" t="s">
        <v>31</v>
      </c>
      <c r="D13" s="1" t="s">
        <v>69</v>
      </c>
      <c r="E13" s="5">
        <v>35723</v>
      </c>
      <c r="F13" s="1">
        <f ca="1"/>
        <v>27</v>
      </c>
      <c r="G13" s="1">
        <v>7222334455</v>
      </c>
      <c r="H13" s="5">
        <v>45671</v>
      </c>
      <c r="I13" s="1" t="s">
        <v>13</v>
      </c>
      <c r="J13" s="1" t="s">
        <v>19</v>
      </c>
      <c r="K13" s="31" cm="1">
        <f t="array" ref="K13">INDEX('Switch Board'!$G$21:$H$24, MATCH(I13, {"Adult","Child","Concession - OAP","Student"}, 0), IF(J13="Area C", 2, 1))</f>
        <v>759</v>
      </c>
      <c r="L13" s="1" t="s">
        <v>152</v>
      </c>
      <c r="M13" s="1"/>
      <c r="N13" s="1" t="str">
        <f t="shared" si="0"/>
        <v>Not Available</v>
      </c>
      <c r="O13" s="1" t="str">
        <f t="shared" si="1"/>
        <v>N/A</v>
      </c>
      <c r="P13" s="5">
        <f t="shared" si="2"/>
        <v>45852</v>
      </c>
    </row>
    <row r="14" spans="1:16">
      <c r="A14" s="1" t="str">
        <f>IF(I14&lt;&gt;"", UPPER(LEFT(I14, 3)) &amp; TEXT(COUNTIF($I$3:I14, I14), "000"), "")</f>
        <v>ADU008</v>
      </c>
      <c r="B14" s="1" t="s">
        <v>79</v>
      </c>
      <c r="C14" s="1" t="s">
        <v>32</v>
      </c>
      <c r="D14" s="1" t="s">
        <v>69</v>
      </c>
      <c r="E14" s="5">
        <v>31527</v>
      </c>
      <c r="F14" s="1">
        <f ca="1"/>
        <v>38</v>
      </c>
      <c r="G14" s="1">
        <v>7333445566</v>
      </c>
      <c r="H14" s="5">
        <v>45675</v>
      </c>
      <c r="I14" s="1" t="s">
        <v>13</v>
      </c>
      <c r="J14" s="1" t="s">
        <v>18</v>
      </c>
      <c r="K14" s="31" cm="1">
        <f t="array" ref="K14">INDEX('Switch Board'!$G$21:$H$24, MATCH(I14, {"Adult","Child","Concession - OAP","Student"}, 0), IF(J14="Area C", 2, 1))</f>
        <v>759</v>
      </c>
      <c r="L14" s="1" t="s">
        <v>151</v>
      </c>
      <c r="M14" s="1"/>
      <c r="N14" s="1" t="str">
        <f t="shared" si="0"/>
        <v>Available</v>
      </c>
      <c r="O14" s="1" t="str">
        <f t="shared" si="1"/>
        <v>Area A</v>
      </c>
      <c r="P14" s="5">
        <f t="shared" si="2"/>
        <v>45856</v>
      </c>
    </row>
    <row r="15" spans="1:16">
      <c r="A15" s="1" t="str">
        <f>IF(I15&lt;&gt;"", UPPER(LEFT(I15, 3)) &amp; TEXT(COUNTIF($I$3:I15, I15), "000"), "")</f>
        <v>ADU009</v>
      </c>
      <c r="B15" s="1" t="s">
        <v>78</v>
      </c>
      <c r="C15" s="1" t="s">
        <v>33</v>
      </c>
      <c r="D15" s="1" t="s">
        <v>69</v>
      </c>
      <c r="E15" s="5">
        <v>35413</v>
      </c>
      <c r="F15" s="1">
        <f ca="1"/>
        <v>28</v>
      </c>
      <c r="G15" s="1">
        <v>7444556677</v>
      </c>
      <c r="H15" s="5">
        <v>45676</v>
      </c>
      <c r="I15" s="1" t="s">
        <v>13</v>
      </c>
      <c r="J15" s="1" t="s">
        <v>19</v>
      </c>
      <c r="K15" s="31" cm="1">
        <f t="array" ref="K15">INDEX('Switch Board'!$G$21:$H$24, MATCH(I15, {"Adult","Child","Concession - OAP","Student"}, 0), IF(J15="Area C", 2, 1))</f>
        <v>759</v>
      </c>
      <c r="L15" s="1" t="s">
        <v>152</v>
      </c>
      <c r="M15" s="1"/>
      <c r="N15" s="1" t="str">
        <f t="shared" si="0"/>
        <v>Not Available</v>
      </c>
      <c r="O15" s="1" t="str">
        <f t="shared" si="1"/>
        <v>N/A</v>
      </c>
      <c r="P15" s="5">
        <f t="shared" si="2"/>
        <v>45857</v>
      </c>
    </row>
    <row r="16" spans="1:16">
      <c r="A16" s="1" t="str">
        <f>IF(I16&lt;&gt;"", UPPER(LEFT(I16, 3)) &amp; TEXT(COUNTIF($I$3:I16, I16), "000"), "")</f>
        <v>ADU010</v>
      </c>
      <c r="B16" s="1" t="s">
        <v>79</v>
      </c>
      <c r="C16" s="1" t="s">
        <v>34</v>
      </c>
      <c r="D16" s="1" t="s">
        <v>70</v>
      </c>
      <c r="E16" s="5">
        <v>32359</v>
      </c>
      <c r="F16" s="1">
        <f ca="1"/>
        <v>36</v>
      </c>
      <c r="G16" s="1">
        <v>7555667788</v>
      </c>
      <c r="H16" s="5">
        <v>45677</v>
      </c>
      <c r="I16" s="1" t="s">
        <v>13</v>
      </c>
      <c r="J16" s="1" t="s">
        <v>18</v>
      </c>
      <c r="K16" s="31" cm="1">
        <f t="array" ref="K16">INDEX('Switch Board'!$G$21:$H$24, MATCH(I16, {"Adult","Child","Concession - OAP","Student"}, 0), IF(J16="Area C", 2, 1))</f>
        <v>759</v>
      </c>
      <c r="L16" s="1" t="s">
        <v>151</v>
      </c>
      <c r="M16" s="1"/>
      <c r="N16" s="1" t="str">
        <f t="shared" si="0"/>
        <v>Available</v>
      </c>
      <c r="O16" s="1" t="str">
        <f t="shared" si="1"/>
        <v>Area A</v>
      </c>
      <c r="P16" s="5">
        <f t="shared" si="2"/>
        <v>45858</v>
      </c>
    </row>
    <row r="17" spans="1:16">
      <c r="A17" s="1" t="str">
        <f>IF(I17&lt;&gt;"", UPPER(LEFT(I17, 3)) &amp; TEXT(COUNTIF($I$3:I17, I17), "000"), "")</f>
        <v>ADU011</v>
      </c>
      <c r="B17" s="1" t="s">
        <v>78</v>
      </c>
      <c r="C17" s="1" t="s">
        <v>35</v>
      </c>
      <c r="D17" s="1" t="s">
        <v>69</v>
      </c>
      <c r="E17" s="5">
        <v>34998</v>
      </c>
      <c r="F17" s="1">
        <f ca="1"/>
        <v>29</v>
      </c>
      <c r="G17" s="1">
        <v>7666778899</v>
      </c>
      <c r="H17" s="5">
        <v>45683</v>
      </c>
      <c r="I17" s="1" t="s">
        <v>13</v>
      </c>
      <c r="J17" s="1" t="s">
        <v>19</v>
      </c>
      <c r="K17" s="31" cm="1">
        <f t="array" ref="K17">INDEX('Switch Board'!$G$21:$H$24, MATCH(I17, {"Adult","Child","Concession - OAP","Student"}, 0), IF(J17="Area C", 2, 1))</f>
        <v>759</v>
      </c>
      <c r="L17" s="1" t="s">
        <v>151</v>
      </c>
      <c r="M17" s="1"/>
      <c r="N17" s="1" t="str">
        <f t="shared" si="0"/>
        <v>Available</v>
      </c>
      <c r="O17" s="1" t="str">
        <f t="shared" si="1"/>
        <v>Area B</v>
      </c>
      <c r="P17" s="5">
        <f t="shared" si="2"/>
        <v>45864</v>
      </c>
    </row>
    <row r="18" spans="1:16">
      <c r="A18" s="1" t="str">
        <f>IF(I18&lt;&gt;"", UPPER(LEFT(I18, 3)) &amp; TEXT(COUNTIF($I$3:I18, I18), "000"), "")</f>
        <v>CHI002</v>
      </c>
      <c r="B18" s="1" t="s">
        <v>80</v>
      </c>
      <c r="C18" s="1" t="s">
        <v>36</v>
      </c>
      <c r="D18" s="1" t="s">
        <v>70</v>
      </c>
      <c r="E18" s="5">
        <v>41909</v>
      </c>
      <c r="F18" s="1">
        <f ca="1"/>
        <v>10</v>
      </c>
      <c r="G18" s="1">
        <v>7777889900</v>
      </c>
      <c r="H18" s="5">
        <v>45685</v>
      </c>
      <c r="I18" s="1" t="s">
        <v>14</v>
      </c>
      <c r="J18" s="1" t="s">
        <v>87</v>
      </c>
      <c r="K18" s="31" cm="1">
        <f t="array" ref="K18">INDEX('Switch Board'!$G$21:$H$24, MATCH(I18, {"Adult","Child","Concession - OAP","Student"}, 0), IF(J18="Area C", 2, 1))</f>
        <v>665</v>
      </c>
      <c r="L18" s="1" t="s">
        <v>153</v>
      </c>
      <c r="M18" s="1"/>
      <c r="N18" s="1" t="str">
        <f t="shared" si="0"/>
        <v>N/A</v>
      </c>
      <c r="O18" s="1" t="str">
        <f t="shared" si="1"/>
        <v>N/A</v>
      </c>
      <c r="P18" s="5">
        <f t="shared" si="2"/>
        <v>45866</v>
      </c>
    </row>
    <row r="19" spans="1:16">
      <c r="A19" s="1" t="str">
        <f>IF(I19&lt;&gt;"", UPPER(LEFT(I19, 3)) &amp; TEXT(COUNTIF($I$3:I19, I19), "000"), "")</f>
        <v>ADU012</v>
      </c>
      <c r="B19" s="1" t="s">
        <v>78</v>
      </c>
      <c r="C19" s="1" t="s">
        <v>37</v>
      </c>
      <c r="D19" s="1" t="s">
        <v>69</v>
      </c>
      <c r="E19" s="5">
        <v>36540</v>
      </c>
      <c r="F19" s="1">
        <f ca="1"/>
        <v>25</v>
      </c>
      <c r="G19" s="1">
        <v>7888990011</v>
      </c>
      <c r="H19" s="5">
        <v>45686</v>
      </c>
      <c r="I19" s="1" t="s">
        <v>13</v>
      </c>
      <c r="J19" s="1" t="s">
        <v>19</v>
      </c>
      <c r="K19" s="31" cm="1">
        <f t="array" ref="K19">INDEX('Switch Board'!$G$21:$H$24, MATCH(I19, {"Adult","Child","Concession - OAP","Student"}, 0), IF(J19="Area C", 2, 1))</f>
        <v>759</v>
      </c>
      <c r="L19" s="1" t="s">
        <v>151</v>
      </c>
      <c r="M19" s="1"/>
      <c r="N19" s="1" t="str">
        <f t="shared" si="0"/>
        <v>Available</v>
      </c>
      <c r="O19" s="1" t="str">
        <f t="shared" si="1"/>
        <v>Area B</v>
      </c>
      <c r="P19" s="5">
        <f t="shared" si="2"/>
        <v>45867</v>
      </c>
    </row>
    <row r="20" spans="1:16">
      <c r="A20" s="1" t="str">
        <f>IF(I20&lt;&gt;"", UPPER(LEFT(I20, 3)) &amp; TEXT(COUNTIF($I$3:I20, I20), "000"), "")</f>
        <v>ADU013</v>
      </c>
      <c r="B20" s="1" t="s">
        <v>80</v>
      </c>
      <c r="C20" s="1" t="s">
        <v>38</v>
      </c>
      <c r="D20" s="1" t="s">
        <v>70</v>
      </c>
      <c r="E20" s="5">
        <v>39394</v>
      </c>
      <c r="F20" s="1">
        <f ca="1"/>
        <v>17</v>
      </c>
      <c r="G20" s="1">
        <v>7999001122</v>
      </c>
      <c r="H20" s="5">
        <v>45689</v>
      </c>
      <c r="I20" s="1" t="s">
        <v>13</v>
      </c>
      <c r="J20" s="1" t="s">
        <v>87</v>
      </c>
      <c r="K20" s="31" cm="1">
        <f t="array" ref="K20">INDEX('Switch Board'!$G$21:$H$24, MATCH(I20, {"Adult","Child","Concession - OAP","Student"}, 0), IF(J20="Area C", 2, 1))</f>
        <v>999</v>
      </c>
      <c r="L20" s="1" t="s">
        <v>153</v>
      </c>
      <c r="M20" s="1"/>
      <c r="N20" s="1" t="str">
        <f t="shared" si="0"/>
        <v>N/A</v>
      </c>
      <c r="O20" s="1" t="str">
        <f t="shared" si="1"/>
        <v>N/A</v>
      </c>
      <c r="P20" s="5">
        <f t="shared" si="2"/>
        <v>45870</v>
      </c>
    </row>
    <row r="21" spans="1:16">
      <c r="A21" s="1" t="str">
        <f>IF(I21&lt;&gt;"", UPPER(LEFT(I21, 3)) &amp; TEXT(COUNTIF($I$3:I21, I21), "000"), "")</f>
        <v>STU003</v>
      </c>
      <c r="B21" s="1" t="s">
        <v>78</v>
      </c>
      <c r="C21" s="1" t="s">
        <v>39</v>
      </c>
      <c r="D21" s="1" t="s">
        <v>69</v>
      </c>
      <c r="E21" s="5">
        <v>36739</v>
      </c>
      <c r="F21" s="1">
        <f ca="1"/>
        <v>24</v>
      </c>
      <c r="G21" s="1">
        <v>7121345678</v>
      </c>
      <c r="H21" s="5">
        <v>45690</v>
      </c>
      <c r="I21" s="1" t="s">
        <v>71</v>
      </c>
      <c r="J21" s="1" t="s">
        <v>18</v>
      </c>
      <c r="K21" s="31" cm="1">
        <f t="array" ref="K21">INDEX('Switch Board'!$G$21:$H$24, MATCH(I21, {"Adult","Child","Concession - OAP","Student"}, 0), IF(J21="Area C", 2, 1))</f>
        <v>405</v>
      </c>
      <c r="L21" s="1" t="s">
        <v>151</v>
      </c>
      <c r="M21" s="1"/>
      <c r="N21" s="1" t="str">
        <f t="shared" si="0"/>
        <v>Available</v>
      </c>
      <c r="O21" s="1" t="str">
        <f t="shared" si="1"/>
        <v>Area A</v>
      </c>
      <c r="P21" s="5">
        <f t="shared" si="2"/>
        <v>45871</v>
      </c>
    </row>
    <row r="22" spans="1:16">
      <c r="A22" s="1" t="str">
        <f>IF(I22&lt;&gt;"", UPPER(LEFT(I22, 3)) &amp; TEXT(COUNTIF($I$3:I22, I22), "000"), "")</f>
        <v>ADU014</v>
      </c>
      <c r="B22" s="1" t="s">
        <v>80</v>
      </c>
      <c r="C22" s="1" t="s">
        <v>40</v>
      </c>
      <c r="D22" s="1" t="s">
        <v>70</v>
      </c>
      <c r="E22" s="5">
        <v>31255</v>
      </c>
      <c r="F22" s="1">
        <f ca="1"/>
        <v>39</v>
      </c>
      <c r="G22" s="1">
        <v>7231456789</v>
      </c>
      <c r="H22" s="5">
        <v>45692</v>
      </c>
      <c r="I22" s="1" t="s">
        <v>13</v>
      </c>
      <c r="J22" s="1" t="s">
        <v>19</v>
      </c>
      <c r="K22" s="31" cm="1">
        <f t="array" ref="K22">INDEX('Switch Board'!$G$21:$H$24, MATCH(I22, {"Adult","Child","Concession - OAP","Student"}, 0), IF(J22="Area C", 2, 1))</f>
        <v>759</v>
      </c>
      <c r="L22" s="1" t="s">
        <v>153</v>
      </c>
      <c r="M22" s="1"/>
      <c r="N22" s="1" t="str">
        <f t="shared" si="0"/>
        <v>N/A</v>
      </c>
      <c r="O22" s="1" t="str">
        <f t="shared" si="1"/>
        <v>N/A</v>
      </c>
      <c r="P22" s="5">
        <f t="shared" si="2"/>
        <v>45873</v>
      </c>
    </row>
    <row r="23" spans="1:16">
      <c r="A23" s="1" t="str">
        <f>IF(I23&lt;&gt;"", UPPER(LEFT(I23, 3)) &amp; TEXT(COUNTIF($I$3:I23, I23), "000"), "")</f>
        <v>ADU015</v>
      </c>
      <c r="B23" s="1" t="s">
        <v>78</v>
      </c>
      <c r="C23" s="1" t="s">
        <v>41</v>
      </c>
      <c r="D23" s="1" t="s">
        <v>69</v>
      </c>
      <c r="E23" s="5">
        <v>36228</v>
      </c>
      <c r="F23" s="1">
        <f ca="1"/>
        <v>25</v>
      </c>
      <c r="G23" s="1">
        <v>7341567890</v>
      </c>
      <c r="H23" s="5">
        <v>45694</v>
      </c>
      <c r="I23" s="1" t="s">
        <v>13</v>
      </c>
      <c r="J23" s="1" t="s">
        <v>19</v>
      </c>
      <c r="K23" s="31" cm="1">
        <f t="array" ref="K23">INDEX('Switch Board'!$G$21:$H$24, MATCH(I23, {"Adult","Child","Concession - OAP","Student"}, 0), IF(J23="Area C", 2, 1))</f>
        <v>759</v>
      </c>
      <c r="L23" s="1" t="s">
        <v>151</v>
      </c>
      <c r="M23" s="1"/>
      <c r="N23" s="1" t="str">
        <f t="shared" si="0"/>
        <v>Available</v>
      </c>
      <c r="O23" s="1" t="str">
        <f t="shared" si="1"/>
        <v>Area B</v>
      </c>
      <c r="P23" s="5">
        <f t="shared" si="2"/>
        <v>45875</v>
      </c>
    </row>
    <row r="24" spans="1:16">
      <c r="A24" s="1" t="str">
        <f>IF(I24&lt;&gt;"", UPPER(LEFT(I24, 3)) &amp; TEXT(COUNTIF($I$3:I24, I24), "000"), "")</f>
        <v>CON002</v>
      </c>
      <c r="B24" s="1" t="s">
        <v>79</v>
      </c>
      <c r="C24" s="1" t="s">
        <v>42</v>
      </c>
      <c r="D24" s="1" t="s">
        <v>70</v>
      </c>
      <c r="E24" s="5">
        <v>5063</v>
      </c>
      <c r="F24" s="1">
        <f ca="1"/>
        <v>111</v>
      </c>
      <c r="G24" s="1">
        <v>7451678901</v>
      </c>
      <c r="H24" s="5">
        <v>45696</v>
      </c>
      <c r="I24" s="1" t="s">
        <v>90</v>
      </c>
      <c r="J24" s="1" t="s">
        <v>18</v>
      </c>
      <c r="K24" s="31" cm="1">
        <f t="array" ref="K24">INDEX('Switch Board'!$G$21:$H$24, MATCH(I24, {"Adult","Child","Concession - OAP","Student"}, 0), IF(J24="Area C", 2, 1))</f>
        <v>515</v>
      </c>
      <c r="L24" s="1" t="s">
        <v>151</v>
      </c>
      <c r="M24" s="1"/>
      <c r="N24" s="1" t="str">
        <f t="shared" si="0"/>
        <v>Available</v>
      </c>
      <c r="O24" s="1" t="str">
        <f t="shared" si="1"/>
        <v>Area A</v>
      </c>
      <c r="P24" s="5">
        <f t="shared" si="2"/>
        <v>45877</v>
      </c>
    </row>
    <row r="25" spans="1:16">
      <c r="A25" s="1" t="str">
        <f>IF(I25&lt;&gt;"", UPPER(LEFT(I25, 3)) &amp; TEXT(COUNTIF($I$3:I25, I25), "000"), "")</f>
        <v>CHI003</v>
      </c>
      <c r="B25" s="1" t="s">
        <v>78</v>
      </c>
      <c r="C25" s="1" t="s">
        <v>43</v>
      </c>
      <c r="D25" s="1" t="s">
        <v>69</v>
      </c>
      <c r="E25" s="5">
        <v>33113</v>
      </c>
      <c r="F25" s="1">
        <f ca="1"/>
        <v>34</v>
      </c>
      <c r="G25" s="1">
        <v>7561789012</v>
      </c>
      <c r="H25" s="5">
        <v>45698</v>
      </c>
      <c r="I25" s="1" t="s">
        <v>14</v>
      </c>
      <c r="J25" s="1" t="s">
        <v>19</v>
      </c>
      <c r="K25" s="31" cm="1">
        <f t="array" ref="K25">INDEX('Switch Board'!$G$21:$H$24, MATCH(I25, {"Adult","Child","Concession - OAP","Student"}, 0), IF(J25="Area C", 2, 1))</f>
        <v>498</v>
      </c>
      <c r="L25" s="1" t="s">
        <v>151</v>
      </c>
      <c r="M25" s="1"/>
      <c r="N25" s="1" t="str">
        <f t="shared" si="0"/>
        <v>Available</v>
      </c>
      <c r="O25" s="1" t="str">
        <f t="shared" si="1"/>
        <v>Area B</v>
      </c>
      <c r="P25" s="5">
        <f t="shared" si="2"/>
        <v>45879</v>
      </c>
    </row>
    <row r="26" spans="1:16">
      <c r="A26" s="1" t="str">
        <f>IF(I26&lt;&gt;"", UPPER(LEFT(I26, 3)) &amp; TEXT(COUNTIF($I$3:I26, I26), "000"), "")</f>
        <v>ADU016</v>
      </c>
      <c r="B26" s="1" t="s">
        <v>79</v>
      </c>
      <c r="C26" s="1" t="s">
        <v>44</v>
      </c>
      <c r="D26" s="1" t="s">
        <v>70</v>
      </c>
      <c r="E26" s="5">
        <v>29326</v>
      </c>
      <c r="F26" s="1">
        <f ca="1"/>
        <v>44</v>
      </c>
      <c r="G26" s="1">
        <v>7671890123</v>
      </c>
      <c r="H26" s="5">
        <v>45699</v>
      </c>
      <c r="I26" s="1" t="s">
        <v>13</v>
      </c>
      <c r="J26" s="1" t="s">
        <v>18</v>
      </c>
      <c r="K26" s="31" cm="1">
        <f t="array" ref="K26">INDEX('Switch Board'!$G$21:$H$24, MATCH(I26, {"Adult","Child","Concession - OAP","Student"}, 0), IF(J26="Area C", 2, 1))</f>
        <v>759</v>
      </c>
      <c r="L26" s="1" t="s">
        <v>151</v>
      </c>
      <c r="M26" s="1"/>
      <c r="N26" s="1" t="str">
        <f t="shared" si="0"/>
        <v>Available</v>
      </c>
      <c r="O26" s="1" t="str">
        <f t="shared" si="1"/>
        <v>Area A</v>
      </c>
      <c r="P26" s="5">
        <f t="shared" si="2"/>
        <v>45880</v>
      </c>
    </row>
    <row r="27" spans="1:16">
      <c r="A27" s="1" t="str">
        <f>IF(I27&lt;&gt;"", UPPER(LEFT(I27, 3)) &amp; TEXT(COUNTIF($I$3:I27, I27), "000"), "")</f>
        <v>CHI004</v>
      </c>
      <c r="B27" s="1" t="s">
        <v>78</v>
      </c>
      <c r="C27" s="1" t="s">
        <v>45</v>
      </c>
      <c r="D27" s="1" t="s">
        <v>69</v>
      </c>
      <c r="E27" s="5">
        <v>42556</v>
      </c>
      <c r="F27" s="1">
        <f ca="1"/>
        <v>8</v>
      </c>
      <c r="G27" s="1">
        <v>7781901234</v>
      </c>
      <c r="H27" s="5">
        <v>45700</v>
      </c>
      <c r="I27" s="1" t="s">
        <v>14</v>
      </c>
      <c r="J27" s="1" t="s">
        <v>18</v>
      </c>
      <c r="K27" s="31" cm="1">
        <f t="array" ref="K27">INDEX('Switch Board'!$G$21:$H$24, MATCH(I27, {"Adult","Child","Concession - OAP","Student"}, 0), IF(J27="Area C", 2, 1))</f>
        <v>498</v>
      </c>
      <c r="L27" s="1" t="s">
        <v>151</v>
      </c>
      <c r="M27" s="1"/>
      <c r="N27" s="1" t="str">
        <f t="shared" si="0"/>
        <v>Available</v>
      </c>
      <c r="O27" s="1" t="str">
        <f t="shared" si="1"/>
        <v>Area A</v>
      </c>
      <c r="P27" s="5">
        <f t="shared" si="2"/>
        <v>45881</v>
      </c>
    </row>
    <row r="28" spans="1:16">
      <c r="A28" s="1" t="str">
        <f>IF(I28&lt;&gt;"", UPPER(LEFT(I28, 3)) &amp; TEXT(COUNTIF($I$3:I28, I28), "000"), "")</f>
        <v>STU004</v>
      </c>
      <c r="B28" s="1" t="s">
        <v>79</v>
      </c>
      <c r="C28" s="1" t="s">
        <v>46</v>
      </c>
      <c r="D28" s="1" t="s">
        <v>70</v>
      </c>
      <c r="E28" s="5">
        <v>36692</v>
      </c>
      <c r="F28" s="1">
        <f ca="1"/>
        <v>24</v>
      </c>
      <c r="G28" s="1">
        <v>7892012345</v>
      </c>
      <c r="H28" s="5">
        <v>45702</v>
      </c>
      <c r="I28" s="1" t="s">
        <v>71</v>
      </c>
      <c r="J28" s="1" t="s">
        <v>87</v>
      </c>
      <c r="K28" s="31" cm="1">
        <f t="array" ref="K28">INDEX('Switch Board'!$G$21:$H$24, MATCH(I28, {"Adult","Child","Concession - OAP","Student"}, 0), IF(J28="Area C", 2, 1))</f>
        <v>695</v>
      </c>
      <c r="L28" s="1" t="s">
        <v>151</v>
      </c>
      <c r="M28" s="1"/>
      <c r="N28" s="1" t="str">
        <f t="shared" si="0"/>
        <v>Available</v>
      </c>
      <c r="O28" s="1" t="str">
        <f t="shared" si="1"/>
        <v>Area C</v>
      </c>
      <c r="P28" s="5">
        <f t="shared" si="2"/>
        <v>45883</v>
      </c>
    </row>
    <row r="29" spans="1:16">
      <c r="A29" s="1" t="str">
        <f>IF(I29&lt;&gt;"", UPPER(LEFT(I29, 3)) &amp; TEXT(COUNTIF($I$3:I29, I29), "000"), "")</f>
        <v>ADU017</v>
      </c>
      <c r="B29" s="1" t="s">
        <v>78</v>
      </c>
      <c r="C29" s="1" t="s">
        <v>47</v>
      </c>
      <c r="D29" s="1" t="s">
        <v>69</v>
      </c>
      <c r="E29" s="5">
        <v>33194</v>
      </c>
      <c r="F29" s="1">
        <f ca="1"/>
        <v>34</v>
      </c>
      <c r="G29" s="1">
        <v>7902123456</v>
      </c>
      <c r="H29" s="5">
        <v>45706</v>
      </c>
      <c r="I29" s="1" t="s">
        <v>13</v>
      </c>
      <c r="J29" s="1" t="s">
        <v>18</v>
      </c>
      <c r="K29" s="31" cm="1">
        <f t="array" ref="K29">INDEX('Switch Board'!$G$21:$H$24, MATCH(I29, {"Adult","Child","Concession - OAP","Student"}, 0), IF(J29="Area C", 2, 1))</f>
        <v>759</v>
      </c>
      <c r="L29" s="1" t="s">
        <v>151</v>
      </c>
      <c r="M29" s="1"/>
      <c r="N29" s="1" t="str">
        <f t="shared" si="0"/>
        <v>Available</v>
      </c>
      <c r="O29" s="1" t="str">
        <f t="shared" si="1"/>
        <v>Area A</v>
      </c>
      <c r="P29" s="5">
        <f t="shared" si="2"/>
        <v>45887</v>
      </c>
    </row>
    <row r="30" spans="1:16">
      <c r="A30" s="1" t="str">
        <f>IF(I30&lt;&gt;"", UPPER(LEFT(I30, 3)) &amp; TEXT(COUNTIF($I$3:I30, I30), "000"), "")</f>
        <v>ADU018</v>
      </c>
      <c r="B30" s="1" t="s">
        <v>79</v>
      </c>
      <c r="C30" s="1" t="s">
        <v>48</v>
      </c>
      <c r="D30" s="1" t="s">
        <v>70</v>
      </c>
      <c r="E30" s="5">
        <v>32106</v>
      </c>
      <c r="F30" s="1">
        <f ca="1"/>
        <v>37</v>
      </c>
      <c r="G30" s="1">
        <v>7112233344</v>
      </c>
      <c r="H30" s="5">
        <v>45712</v>
      </c>
      <c r="I30" s="1" t="s">
        <v>13</v>
      </c>
      <c r="J30" s="1" t="s">
        <v>19</v>
      </c>
      <c r="K30" s="31" cm="1">
        <f t="array" ref="K30">INDEX('Switch Board'!$G$21:$H$24, MATCH(I30, {"Adult","Child","Concession - OAP","Student"}, 0), IF(J30="Area C", 2, 1))</f>
        <v>759</v>
      </c>
      <c r="L30" s="1" t="s">
        <v>151</v>
      </c>
      <c r="M30" s="1"/>
      <c r="N30" s="1" t="str">
        <f t="shared" si="0"/>
        <v>Available</v>
      </c>
      <c r="O30" s="1" t="str">
        <f t="shared" si="1"/>
        <v>Area B</v>
      </c>
      <c r="P30" s="5">
        <f t="shared" si="2"/>
        <v>45893</v>
      </c>
    </row>
    <row r="31" spans="1:16">
      <c r="A31" s="1" t="str">
        <f>IF(I31&lt;&gt;"", UPPER(LEFT(I31, 3)) &amp; TEXT(COUNTIF($I$3:I31, I31), "000"), "")</f>
        <v>ADU019</v>
      </c>
      <c r="B31" s="1" t="s">
        <v>78</v>
      </c>
      <c r="C31" s="1" t="s">
        <v>49</v>
      </c>
      <c r="D31" s="1" t="s">
        <v>69</v>
      </c>
      <c r="E31" s="5">
        <v>33285</v>
      </c>
      <c r="F31" s="1">
        <f ca="1"/>
        <v>34</v>
      </c>
      <c r="G31" s="1">
        <v>7223334455</v>
      </c>
      <c r="H31" s="5">
        <v>45713</v>
      </c>
      <c r="I31" s="1" t="s">
        <v>13</v>
      </c>
      <c r="J31" s="1" t="s">
        <v>18</v>
      </c>
      <c r="K31" s="31" cm="1">
        <f t="array" ref="K31">INDEX('Switch Board'!$G$21:$H$24, MATCH(I31, {"Adult","Child","Concession - OAP","Student"}, 0), IF(J31="Area C", 2, 1))</f>
        <v>759</v>
      </c>
      <c r="L31" s="1" t="s">
        <v>151</v>
      </c>
      <c r="M31" s="1"/>
      <c r="N31" s="1" t="str">
        <f t="shared" si="0"/>
        <v>Available</v>
      </c>
      <c r="O31" s="1" t="str">
        <f t="shared" si="1"/>
        <v>Area A</v>
      </c>
      <c r="P31" s="5">
        <f t="shared" si="2"/>
        <v>45894</v>
      </c>
    </row>
    <row r="32" spans="1:16">
      <c r="A32" s="1" t="str">
        <f>IF(I32&lt;&gt;"", UPPER(LEFT(I32, 3)) &amp; TEXT(COUNTIF($I$3:I32, I32), "000"), "")</f>
        <v>CON003</v>
      </c>
      <c r="B32" s="1" t="s">
        <v>79</v>
      </c>
      <c r="C32" s="1" t="s">
        <v>50</v>
      </c>
      <c r="D32" s="1" t="s">
        <v>70</v>
      </c>
      <c r="E32" s="5">
        <v>19733</v>
      </c>
      <c r="F32" s="1">
        <f ca="1"/>
        <v>71</v>
      </c>
      <c r="G32" s="1">
        <v>7334445566</v>
      </c>
      <c r="H32" s="5">
        <v>45714</v>
      </c>
      <c r="I32" s="1" t="s">
        <v>90</v>
      </c>
      <c r="J32" s="1" t="s">
        <v>18</v>
      </c>
      <c r="K32" s="31" cm="1">
        <f t="array" ref="K32">INDEX('Switch Board'!$G$21:$H$24, MATCH(I32, {"Adult","Child","Concession - OAP","Student"}, 0), IF(J32="Area C", 2, 1))</f>
        <v>515</v>
      </c>
      <c r="L32" s="1" t="s">
        <v>151</v>
      </c>
      <c r="M32" s="1"/>
      <c r="N32" s="1" t="str">
        <f t="shared" si="0"/>
        <v>Available</v>
      </c>
      <c r="O32" s="1" t="str">
        <f t="shared" si="1"/>
        <v>Area A</v>
      </c>
      <c r="P32" s="5">
        <f t="shared" si="2"/>
        <v>45895</v>
      </c>
    </row>
    <row r="33" spans="1:16">
      <c r="A33" s="1" t="str">
        <f>IF(I33&lt;&gt;"", UPPER(LEFT(I33, 3)) &amp; TEXT(COUNTIF($I$3:I33, I33), "000"), "")</f>
        <v>ADU020</v>
      </c>
      <c r="B33" s="1" t="s">
        <v>78</v>
      </c>
      <c r="C33" s="1" t="s">
        <v>51</v>
      </c>
      <c r="D33" s="1" t="s">
        <v>69</v>
      </c>
      <c r="E33" s="5">
        <v>28123</v>
      </c>
      <c r="F33" s="1">
        <f ca="1"/>
        <v>48</v>
      </c>
      <c r="G33" s="1">
        <v>7445556677</v>
      </c>
      <c r="H33" s="5">
        <v>45720</v>
      </c>
      <c r="I33" s="1" t="s">
        <v>13</v>
      </c>
      <c r="J33" s="1" t="s">
        <v>87</v>
      </c>
      <c r="K33" s="31" cm="1">
        <f t="array" ref="K33">INDEX('Switch Board'!$G$21:$H$24, MATCH(I33, {"Adult","Child","Concession - OAP","Student"}, 0), IF(J33="Area C", 2, 1))</f>
        <v>999</v>
      </c>
      <c r="L33" s="1" t="s">
        <v>151</v>
      </c>
      <c r="M33" s="1"/>
      <c r="N33" s="1" t="str">
        <f t="shared" si="0"/>
        <v>Available</v>
      </c>
      <c r="O33" s="1" t="str">
        <f t="shared" si="1"/>
        <v>Area C</v>
      </c>
      <c r="P33" s="5">
        <f t="shared" si="2"/>
        <v>45904</v>
      </c>
    </row>
    <row r="34" spans="1:16">
      <c r="A34" s="1" t="str">
        <f>IF(I34&lt;&gt;"", UPPER(LEFT(I34, 3)) &amp; TEXT(COUNTIF($I$3:I34, I34), "000"), "")</f>
        <v>ADU021</v>
      </c>
      <c r="B34" s="1" t="s">
        <v>79</v>
      </c>
      <c r="C34" s="1" t="s">
        <v>52</v>
      </c>
      <c r="D34" s="1" t="s">
        <v>70</v>
      </c>
      <c r="E34" s="5">
        <v>36195</v>
      </c>
      <c r="F34" s="1">
        <f ca="1"/>
        <v>26</v>
      </c>
      <c r="G34" s="1">
        <v>7556667788</v>
      </c>
      <c r="H34" s="5">
        <v>45732</v>
      </c>
      <c r="I34" s="1" t="s">
        <v>13</v>
      </c>
      <c r="J34" s="1" t="s">
        <v>87</v>
      </c>
      <c r="K34" s="31" cm="1">
        <f t="array" ref="K34">INDEX('Switch Board'!$G$21:$H$24, MATCH(I34, {"Adult","Child","Concession - OAP","Student"}, 0), IF(J34="Area C", 2, 1))</f>
        <v>999</v>
      </c>
      <c r="L34" s="1" t="s">
        <v>151</v>
      </c>
      <c r="M34" s="1"/>
      <c r="N34" s="1" t="str">
        <f t="shared" si="0"/>
        <v>Available</v>
      </c>
      <c r="O34" s="1" t="str">
        <f t="shared" si="1"/>
        <v>Area C</v>
      </c>
      <c r="P34" s="5">
        <f t="shared" si="2"/>
        <v>45916</v>
      </c>
    </row>
    <row r="35" spans="1:16">
      <c r="A35" s="1" t="str">
        <f>IF(I35&lt;&gt;"", UPPER(LEFT(I35, 3)) &amp; TEXT(COUNTIF($I$3:I35, I35), "000"), "")</f>
        <v>ADU022</v>
      </c>
      <c r="B35" s="1" t="s">
        <v>78</v>
      </c>
      <c r="C35" s="1" t="s">
        <v>53</v>
      </c>
      <c r="D35" s="1" t="s">
        <v>69</v>
      </c>
      <c r="E35" s="5">
        <v>35065</v>
      </c>
      <c r="F35" s="1">
        <f ca="1"/>
        <v>29</v>
      </c>
      <c r="G35" s="1">
        <v>7667778899</v>
      </c>
      <c r="H35" s="5">
        <v>45734</v>
      </c>
      <c r="I35" s="1" t="s">
        <v>13</v>
      </c>
      <c r="J35" s="1" t="s">
        <v>19</v>
      </c>
      <c r="K35" s="31" cm="1">
        <f t="array" ref="K35">INDEX('Switch Board'!$G$21:$H$24, MATCH(I35, {"Adult","Child","Concession - OAP","Student"}, 0), IF(J35="Area C", 2, 1))</f>
        <v>759</v>
      </c>
      <c r="L35" s="1" t="s">
        <v>151</v>
      </c>
      <c r="M35" s="1"/>
      <c r="N35" s="1" t="str">
        <f t="shared" ref="N35:N66" si="3">IF(L35="Successful", "Available", IF(L35="Pending", "N/A", IF(L35="Unsuccessful", "Not Available", "")))</f>
        <v>Available</v>
      </c>
      <c r="O35" s="1" t="str">
        <f t="shared" ref="O35:O66" si="4">IF(L35="Successful", J35, "N/A")</f>
        <v>Area B</v>
      </c>
      <c r="P35" s="5">
        <f t="shared" si="2"/>
        <v>45918</v>
      </c>
    </row>
    <row r="36" spans="1:16">
      <c r="A36" s="1" t="str">
        <f>IF(I36&lt;&gt;"", UPPER(LEFT(I36, 3)) &amp; TEXT(COUNTIF($I$3:I36, I36), "000"), "")</f>
        <v>CON004</v>
      </c>
      <c r="B36" s="1" t="s">
        <v>80</v>
      </c>
      <c r="C36" s="1" t="s">
        <v>54</v>
      </c>
      <c r="D36" s="1" t="s">
        <v>70</v>
      </c>
      <c r="E36" s="5">
        <v>5351</v>
      </c>
      <c r="F36" s="1">
        <f ca="1"/>
        <v>110</v>
      </c>
      <c r="G36" s="1">
        <v>7778889900</v>
      </c>
      <c r="H36" s="5">
        <v>45736</v>
      </c>
      <c r="I36" s="1" t="s">
        <v>90</v>
      </c>
      <c r="J36" s="1" t="s">
        <v>87</v>
      </c>
      <c r="K36" s="31" cm="1">
        <f t="array" ref="K36">INDEX('Switch Board'!$G$21:$H$24, MATCH(I36, {"Adult","Child","Concession - OAP","Student"}, 0), IF(J36="Area C", 2, 1))</f>
        <v>705</v>
      </c>
      <c r="L36" s="1" t="s">
        <v>151</v>
      </c>
      <c r="M36" s="1"/>
      <c r="N36" s="1" t="str">
        <f t="shared" si="3"/>
        <v>Available</v>
      </c>
      <c r="O36" s="1" t="str">
        <f t="shared" si="4"/>
        <v>Area C</v>
      </c>
      <c r="P36" s="5">
        <f t="shared" si="2"/>
        <v>45920</v>
      </c>
    </row>
    <row r="37" spans="1:16">
      <c r="A37" s="1" t="str">
        <f>IF(I37&lt;&gt;"", UPPER(LEFT(I37, 3)) &amp; TEXT(COUNTIF($I$3:I37, I37), "000"), "")</f>
        <v>ADU023</v>
      </c>
      <c r="B37" s="1" t="s">
        <v>78</v>
      </c>
      <c r="C37" s="1" t="s">
        <v>55</v>
      </c>
      <c r="D37" s="1" t="s">
        <v>69</v>
      </c>
      <c r="E37" s="5">
        <v>33156</v>
      </c>
      <c r="F37" s="1">
        <f ca="1"/>
        <v>34</v>
      </c>
      <c r="G37" s="1">
        <v>7889990011</v>
      </c>
      <c r="H37" s="5">
        <v>45737</v>
      </c>
      <c r="I37" s="1" t="s">
        <v>13</v>
      </c>
      <c r="J37" s="1" t="s">
        <v>18</v>
      </c>
      <c r="K37" s="31" cm="1">
        <f t="array" ref="K37">INDEX('Switch Board'!$G$21:$H$24, MATCH(I37, {"Adult","Child","Concession - OAP","Student"}, 0), IF(J37="Area C", 2, 1))</f>
        <v>759</v>
      </c>
      <c r="L37" s="1" t="s">
        <v>151</v>
      </c>
      <c r="M37" s="1"/>
      <c r="N37" s="1" t="str">
        <f t="shared" si="3"/>
        <v>Available</v>
      </c>
      <c r="O37" s="1" t="str">
        <f t="shared" si="4"/>
        <v>Area A</v>
      </c>
      <c r="P37" s="5">
        <f t="shared" si="2"/>
        <v>45921</v>
      </c>
    </row>
    <row r="38" spans="1:16">
      <c r="A38" s="1" t="str">
        <f>IF(I38&lt;&gt;"", UPPER(LEFT(I38, 3)) &amp; TEXT(COUNTIF($I$3:I38, I38), "000"), "")</f>
        <v>CHI005</v>
      </c>
      <c r="B38" s="1" t="s">
        <v>79</v>
      </c>
      <c r="C38" s="1" t="s">
        <v>56</v>
      </c>
      <c r="D38" s="1" t="s">
        <v>70</v>
      </c>
      <c r="E38" s="5">
        <v>39855</v>
      </c>
      <c r="F38" s="1">
        <f ca="1"/>
        <v>16</v>
      </c>
      <c r="G38" s="1">
        <v>7900011122</v>
      </c>
      <c r="H38" s="5">
        <v>45742</v>
      </c>
      <c r="I38" s="1" t="s">
        <v>14</v>
      </c>
      <c r="J38" s="1" t="s">
        <v>87</v>
      </c>
      <c r="K38" s="31" cm="1">
        <f t="array" ref="K38">INDEX('Switch Board'!$G$21:$H$24, MATCH(I38, {"Adult","Child","Concession - OAP","Student"}, 0), IF(J38="Area C", 2, 1))</f>
        <v>665</v>
      </c>
      <c r="L38" s="1" t="s">
        <v>151</v>
      </c>
      <c r="M38" s="1"/>
      <c r="N38" s="1" t="str">
        <f t="shared" si="3"/>
        <v>Available</v>
      </c>
      <c r="O38" s="1" t="str">
        <f t="shared" si="4"/>
        <v>Area C</v>
      </c>
      <c r="P38" s="5">
        <f t="shared" si="2"/>
        <v>45926</v>
      </c>
    </row>
    <row r="39" spans="1:16">
      <c r="A39" s="1" t="str">
        <f>IF(I39&lt;&gt;"", UPPER(LEFT(I39, 3)) &amp; TEXT(COUNTIF($I$3:I39, I39), "000"), "")</f>
        <v>ADU024</v>
      </c>
      <c r="B39" s="1" t="s">
        <v>78</v>
      </c>
      <c r="C39" s="1" t="s">
        <v>57</v>
      </c>
      <c r="D39" s="1" t="s">
        <v>69</v>
      </c>
      <c r="E39" s="5">
        <v>26477</v>
      </c>
      <c r="F39" s="1">
        <f ca="1"/>
        <v>52</v>
      </c>
      <c r="G39" s="1">
        <v>7131543210</v>
      </c>
      <c r="H39" s="5">
        <v>45744</v>
      </c>
      <c r="I39" s="1" t="s">
        <v>13</v>
      </c>
      <c r="J39" s="1" t="s">
        <v>19</v>
      </c>
      <c r="K39" s="31" cm="1">
        <f t="array" ref="K39">INDEX('Switch Board'!$G$21:$H$24, MATCH(I39, {"Adult","Child","Concession - OAP","Student"}, 0), IF(J39="Area C", 2, 1))</f>
        <v>759</v>
      </c>
      <c r="L39" s="1" t="s">
        <v>151</v>
      </c>
      <c r="M39" s="1"/>
      <c r="N39" s="1" t="str">
        <f t="shared" si="3"/>
        <v>Available</v>
      </c>
      <c r="O39" s="1" t="str">
        <f t="shared" si="4"/>
        <v>Area B</v>
      </c>
      <c r="P39" s="5">
        <f t="shared" si="2"/>
        <v>45928</v>
      </c>
    </row>
    <row r="40" spans="1:16">
      <c r="A40" s="1" t="str">
        <f>IF(I40&lt;&gt;"", UPPER(LEFT(I40, 3)) &amp; TEXT(COUNTIF($I$3:I40, I40), "000"), "")</f>
        <v>STU005</v>
      </c>
      <c r="B40" s="1" t="s">
        <v>79</v>
      </c>
      <c r="C40" s="1" t="s">
        <v>58</v>
      </c>
      <c r="D40" s="1" t="s">
        <v>70</v>
      </c>
      <c r="E40" s="5">
        <v>38519</v>
      </c>
      <c r="F40" s="1">
        <f ca="1"/>
        <v>19</v>
      </c>
      <c r="G40" s="1">
        <v>7241654321</v>
      </c>
      <c r="H40" s="5">
        <v>45745</v>
      </c>
      <c r="I40" s="1" t="s">
        <v>71</v>
      </c>
      <c r="J40" s="1" t="s">
        <v>87</v>
      </c>
      <c r="K40" s="31" cm="1">
        <f t="array" ref="K40">INDEX('Switch Board'!$G$21:$H$24, MATCH(I40, {"Adult","Child","Concession - OAP","Student"}, 0), IF(J40="Area C", 2, 1))</f>
        <v>695</v>
      </c>
      <c r="L40" s="1" t="s">
        <v>152</v>
      </c>
      <c r="M40" s="1"/>
      <c r="N40" s="1" t="str">
        <f t="shared" si="3"/>
        <v>Not Available</v>
      </c>
      <c r="O40" s="1" t="str">
        <f t="shared" si="4"/>
        <v>N/A</v>
      </c>
      <c r="P40" s="5">
        <f t="shared" si="2"/>
        <v>45929</v>
      </c>
    </row>
    <row r="41" spans="1:16">
      <c r="A41" s="1" t="str">
        <f>IF(I41&lt;&gt;"", UPPER(LEFT(I41, 3)) &amp; TEXT(COUNTIF($I$3:I41, I41), "000"), "")</f>
        <v>ADU025</v>
      </c>
      <c r="B41" s="1" t="s">
        <v>78</v>
      </c>
      <c r="C41" s="1" t="s">
        <v>59</v>
      </c>
      <c r="D41" s="1" t="s">
        <v>69</v>
      </c>
      <c r="E41" s="5">
        <v>28739</v>
      </c>
      <c r="F41" s="1">
        <f ca="1"/>
        <v>46</v>
      </c>
      <c r="G41" s="1">
        <v>7351765432</v>
      </c>
      <c r="H41" s="5">
        <v>45713</v>
      </c>
      <c r="I41" s="1" t="s">
        <v>13</v>
      </c>
      <c r="J41" s="1" t="s">
        <v>19</v>
      </c>
      <c r="K41" s="31" cm="1">
        <f t="array" ref="K41">INDEX('Switch Board'!$G$21:$H$24, MATCH(I41, {"Adult","Child","Concession - OAP","Student"}, 0), IF(J41="Area C", 2, 1))</f>
        <v>759</v>
      </c>
      <c r="L41" s="1" t="s">
        <v>151</v>
      </c>
      <c r="M41" s="1"/>
      <c r="N41" s="1" t="str">
        <f t="shared" si="3"/>
        <v>Available</v>
      </c>
      <c r="O41" s="1" t="str">
        <f t="shared" si="4"/>
        <v>Area B</v>
      </c>
      <c r="P41" s="5">
        <f t="shared" si="2"/>
        <v>45894</v>
      </c>
    </row>
    <row r="42" spans="1:16">
      <c r="A42" s="1" t="str">
        <f>IF(I42&lt;&gt;"", UPPER(LEFT(I42, 3)) &amp; TEXT(COUNTIF($I$3:I42, I42), "000"), "")</f>
        <v>ADU026</v>
      </c>
      <c r="B42" s="1" t="s">
        <v>80</v>
      </c>
      <c r="C42" s="1" t="s">
        <v>60</v>
      </c>
      <c r="D42" s="1" t="s">
        <v>70</v>
      </c>
      <c r="E42" s="5">
        <v>38521</v>
      </c>
      <c r="F42" s="1">
        <f ca="1"/>
        <v>19</v>
      </c>
      <c r="G42" s="1">
        <v>7461876543</v>
      </c>
      <c r="H42" s="5">
        <v>45714</v>
      </c>
      <c r="I42" s="1" t="s">
        <v>13</v>
      </c>
      <c r="J42" s="1" t="s">
        <v>87</v>
      </c>
      <c r="K42" s="31" cm="1">
        <f t="array" ref="K42">INDEX('Switch Board'!$G$21:$H$24, MATCH(I42, {"Adult","Child","Concession - OAP","Student"}, 0), IF(J42="Area C", 2, 1))</f>
        <v>999</v>
      </c>
      <c r="L42" s="1" t="s">
        <v>153</v>
      </c>
      <c r="M42" s="1"/>
      <c r="N42" s="1" t="str">
        <f t="shared" si="3"/>
        <v>N/A</v>
      </c>
      <c r="O42" s="1" t="str">
        <f t="shared" si="4"/>
        <v>N/A</v>
      </c>
      <c r="P42" s="5">
        <f t="shared" si="2"/>
        <v>45895</v>
      </c>
    </row>
    <row r="43" spans="1:16">
      <c r="A43" s="1" t="str">
        <f>IF(I43&lt;&gt;"", UPPER(LEFT(I43, 3)) &amp; TEXT(COUNTIF($I$3:I43, I43), "000"), "")</f>
        <v>CON005</v>
      </c>
      <c r="B43" s="1" t="s">
        <v>78</v>
      </c>
      <c r="C43" s="1" t="s">
        <v>61</v>
      </c>
      <c r="D43" s="1" t="s">
        <v>69</v>
      </c>
      <c r="E43" s="5">
        <v>2996</v>
      </c>
      <c r="F43" s="1">
        <f ca="1"/>
        <v>116</v>
      </c>
      <c r="G43" s="1">
        <v>7571987654</v>
      </c>
      <c r="H43" s="5">
        <v>45720</v>
      </c>
      <c r="I43" s="1" t="s">
        <v>90</v>
      </c>
      <c r="J43" s="1" t="s">
        <v>18</v>
      </c>
      <c r="K43" s="31" cm="1">
        <f t="array" ref="K43">INDEX('Switch Board'!$G$21:$H$24, MATCH(I43, {"Adult","Child","Concession - OAP","Student"}, 0), IF(J43="Area C", 2, 1))</f>
        <v>515</v>
      </c>
      <c r="L43" s="1" t="s">
        <v>151</v>
      </c>
      <c r="M43" s="1"/>
      <c r="N43" s="1" t="str">
        <f t="shared" si="3"/>
        <v>Available</v>
      </c>
      <c r="O43" s="1" t="str">
        <f t="shared" si="4"/>
        <v>Area A</v>
      </c>
      <c r="P43" s="5">
        <f t="shared" si="2"/>
        <v>45904</v>
      </c>
    </row>
    <row r="44" spans="1:16">
      <c r="A44" s="1" t="str">
        <f>IF(I44&lt;&gt;"", UPPER(LEFT(I44, 3)) &amp; TEXT(COUNTIF($I$3:I44, I44), "000"), "")</f>
        <v>CHI006</v>
      </c>
      <c r="B44" s="1" t="s">
        <v>80</v>
      </c>
      <c r="C44" s="1" t="s">
        <v>62</v>
      </c>
      <c r="D44" s="1" t="s">
        <v>70</v>
      </c>
      <c r="E44" s="5">
        <v>42942</v>
      </c>
      <c r="F44" s="1">
        <f ca="1"/>
        <v>7</v>
      </c>
      <c r="G44" s="1">
        <v>7682098765</v>
      </c>
      <c r="H44" s="5">
        <v>45732</v>
      </c>
      <c r="I44" s="1" t="s">
        <v>14</v>
      </c>
      <c r="J44" s="1" t="s">
        <v>19</v>
      </c>
      <c r="K44" s="31" cm="1">
        <f t="array" ref="K44">INDEX('Switch Board'!$G$21:$H$24, MATCH(I44, {"Adult","Child","Concession - OAP","Student"}, 0), IF(J44="Area C", 2, 1))</f>
        <v>498</v>
      </c>
      <c r="L44" s="1" t="s">
        <v>151</v>
      </c>
      <c r="M44" s="1"/>
      <c r="N44" s="1" t="str">
        <f t="shared" si="3"/>
        <v>Available</v>
      </c>
      <c r="O44" s="1" t="str">
        <f t="shared" si="4"/>
        <v>Area B</v>
      </c>
      <c r="P44" s="5">
        <f t="shared" si="2"/>
        <v>45916</v>
      </c>
    </row>
    <row r="45" spans="1:16">
      <c r="A45" s="1" t="str">
        <f>IF(I45&lt;&gt;"", UPPER(LEFT(I45, 3)) &amp; TEXT(COUNTIF($I$3:I45, I45), "000"), "")</f>
        <v>ADU027</v>
      </c>
      <c r="B45" s="1" t="s">
        <v>78</v>
      </c>
      <c r="C45" s="1" t="s">
        <v>63</v>
      </c>
      <c r="D45" s="1" t="s">
        <v>69</v>
      </c>
      <c r="E45" s="5">
        <v>30484</v>
      </c>
      <c r="F45" s="1">
        <f ca="1"/>
        <v>41</v>
      </c>
      <c r="G45" s="1">
        <v>7792109876</v>
      </c>
      <c r="H45" s="5">
        <v>45734</v>
      </c>
      <c r="I45" s="1" t="s">
        <v>13</v>
      </c>
      <c r="J45" s="1" t="s">
        <v>18</v>
      </c>
      <c r="K45" s="31" cm="1">
        <f t="array" ref="K45">INDEX('Switch Board'!$G$21:$H$24, MATCH(I45, {"Adult","Child","Concession - OAP","Student"}, 0), IF(J45="Area C", 2, 1))</f>
        <v>759</v>
      </c>
      <c r="L45" s="1" t="s">
        <v>153</v>
      </c>
      <c r="M45" s="1"/>
      <c r="N45" s="1" t="str">
        <f t="shared" si="3"/>
        <v>N/A</v>
      </c>
      <c r="O45" s="1" t="str">
        <f t="shared" si="4"/>
        <v>N/A</v>
      </c>
      <c r="P45" s="5">
        <f t="shared" si="2"/>
        <v>45918</v>
      </c>
    </row>
    <row r="46" spans="1:16">
      <c r="A46" s="1" t="str">
        <f>IF(I46&lt;&gt;"", UPPER(LEFT(I46, 3)) &amp; TEXT(COUNTIF($I$3:I46, I46), "000"), "")</f>
        <v>CON006</v>
      </c>
      <c r="B46" s="1" t="s">
        <v>79</v>
      </c>
      <c r="C46" s="1" t="s">
        <v>64</v>
      </c>
      <c r="D46" s="1" t="s">
        <v>70</v>
      </c>
      <c r="E46" s="5">
        <v>40208</v>
      </c>
      <c r="F46" s="1">
        <f ca="1"/>
        <v>15</v>
      </c>
      <c r="G46" s="1">
        <v>7802109876</v>
      </c>
      <c r="H46" s="5">
        <v>45736</v>
      </c>
      <c r="I46" s="1" t="s">
        <v>90</v>
      </c>
      <c r="J46" s="1" t="s">
        <v>19</v>
      </c>
      <c r="K46" s="31" cm="1">
        <f t="array" ref="K46">INDEX('Switch Board'!$G$21:$H$24, MATCH(I46, {"Adult","Child","Concession - OAP","Student"}, 0), IF(J46="Area C", 2, 1))</f>
        <v>515</v>
      </c>
      <c r="L46" s="1" t="s">
        <v>151</v>
      </c>
      <c r="M46" s="1"/>
      <c r="N46" s="1" t="str">
        <f t="shared" si="3"/>
        <v>Available</v>
      </c>
      <c r="O46" s="1" t="str">
        <f t="shared" si="4"/>
        <v>Area B</v>
      </c>
      <c r="P46" s="5">
        <f t="shared" si="2"/>
        <v>45920</v>
      </c>
    </row>
    <row r="47" spans="1:16">
      <c r="A47" s="1" t="str">
        <f>IF(I47&lt;&gt;"", UPPER(LEFT(I47, 3)) &amp; TEXT(COUNTIF($I$3:I47, I47), "000"), "")</f>
        <v>CON007</v>
      </c>
      <c r="B47" s="1" t="s">
        <v>78</v>
      </c>
      <c r="C47" s="1" t="s">
        <v>65</v>
      </c>
      <c r="D47" s="1" t="s">
        <v>69</v>
      </c>
      <c r="E47" s="5">
        <v>402</v>
      </c>
      <c r="F47" s="1">
        <f ca="1"/>
        <v>124</v>
      </c>
      <c r="G47" s="1">
        <v>7911321098</v>
      </c>
      <c r="H47" s="5">
        <v>45737</v>
      </c>
      <c r="I47" s="1" t="s">
        <v>90</v>
      </c>
      <c r="J47" s="1" t="s">
        <v>87</v>
      </c>
      <c r="K47" s="31" cm="1">
        <f t="array" ref="K47">INDEX('Switch Board'!$G$21:$H$24, MATCH(I47, {"Adult","Child","Concession - OAP","Student"}, 0), IF(J47="Area C", 2, 1))</f>
        <v>705</v>
      </c>
      <c r="L47" s="1" t="s">
        <v>151</v>
      </c>
      <c r="M47" s="1"/>
      <c r="N47" s="1" t="str">
        <f t="shared" si="3"/>
        <v>Available</v>
      </c>
      <c r="O47" s="1" t="str">
        <f t="shared" si="4"/>
        <v>Area C</v>
      </c>
      <c r="P47" s="5">
        <f t="shared" si="2"/>
        <v>45921</v>
      </c>
    </row>
    <row r="48" spans="1:16">
      <c r="A48" s="1" t="str">
        <f>IF(I48&lt;&gt;"", UPPER(LEFT(I48, 3)) &amp; TEXT(COUNTIF($I$3:I48, I48), "000"), "")</f>
        <v>STU006</v>
      </c>
      <c r="B48" s="1" t="s">
        <v>79</v>
      </c>
      <c r="C48" s="1" t="s">
        <v>66</v>
      </c>
      <c r="D48" s="1" t="s">
        <v>70</v>
      </c>
      <c r="E48" s="5">
        <v>36607</v>
      </c>
      <c r="F48" s="1">
        <f ca="1"/>
        <v>24</v>
      </c>
      <c r="G48" s="1">
        <v>7141567899</v>
      </c>
      <c r="H48" s="5">
        <v>45742</v>
      </c>
      <c r="I48" s="1" t="s">
        <v>71</v>
      </c>
      <c r="J48" s="1" t="s">
        <v>19</v>
      </c>
      <c r="K48" s="31" cm="1">
        <f t="array" ref="K48">INDEX('Switch Board'!$G$21:$H$24, MATCH(I48, {"Adult","Child","Concession - OAP","Student"}, 0), IF(J48="Area C", 2, 1))</f>
        <v>405</v>
      </c>
      <c r="L48" s="1" t="s">
        <v>151</v>
      </c>
      <c r="M48" s="1"/>
      <c r="N48" s="1" t="str">
        <f t="shared" si="3"/>
        <v>Available</v>
      </c>
      <c r="O48" s="1" t="str">
        <f t="shared" si="4"/>
        <v>Area B</v>
      </c>
      <c r="P48" s="5">
        <f t="shared" si="2"/>
        <v>45926</v>
      </c>
    </row>
    <row r="49" spans="1:16">
      <c r="A49" s="1" t="str">
        <f>IF(I49&lt;&gt;"", UPPER(LEFT(I49, 3)) &amp; TEXT(COUNTIF($I$3:I49, I49), "000"), "")</f>
        <v>STU007</v>
      </c>
      <c r="B49" s="1" t="s">
        <v>78</v>
      </c>
      <c r="C49" s="1" t="s">
        <v>67</v>
      </c>
      <c r="D49" s="1" t="s">
        <v>69</v>
      </c>
      <c r="E49" s="5">
        <v>23506</v>
      </c>
      <c r="F49" s="1">
        <f ca="1"/>
        <v>60</v>
      </c>
      <c r="G49" s="1">
        <v>7251678910</v>
      </c>
      <c r="H49" s="5">
        <v>45744</v>
      </c>
      <c r="I49" s="1" t="s">
        <v>71</v>
      </c>
      <c r="J49" s="1" t="s">
        <v>18</v>
      </c>
      <c r="K49" s="31" cm="1">
        <f t="array" ref="K49">INDEX('Switch Board'!$G$21:$H$24, MATCH(I49, {"Adult","Child","Concession - OAP","Student"}, 0), IF(J49="Area C", 2, 1))</f>
        <v>405</v>
      </c>
      <c r="L49" s="1" t="s">
        <v>153</v>
      </c>
      <c r="M49" s="1"/>
      <c r="N49" s="1" t="str">
        <f t="shared" si="3"/>
        <v>N/A</v>
      </c>
      <c r="O49" s="1" t="str">
        <f t="shared" si="4"/>
        <v>N/A</v>
      </c>
      <c r="P49" s="5">
        <f t="shared" si="2"/>
        <v>45928</v>
      </c>
    </row>
    <row r="50" spans="1:16">
      <c r="A50" s="1" t="str">
        <f>IF(I50&lt;&gt;"", UPPER(LEFT(I50, 3)) &amp; TEXT(COUNTIF($I$3:I50, I50), "000"), "")</f>
        <v>ADU028</v>
      </c>
      <c r="B50" s="1" t="s">
        <v>79</v>
      </c>
      <c r="C50" s="1" t="s">
        <v>68</v>
      </c>
      <c r="D50" s="1" t="s">
        <v>70</v>
      </c>
      <c r="E50" s="5">
        <v>38578</v>
      </c>
      <c r="F50" s="1">
        <f ca="1"/>
        <v>19</v>
      </c>
      <c r="G50" s="1">
        <v>7361789021</v>
      </c>
      <c r="H50" s="5">
        <v>45745</v>
      </c>
      <c r="I50" s="1" t="s">
        <v>13</v>
      </c>
      <c r="J50" s="1" t="s">
        <v>87</v>
      </c>
      <c r="K50" s="31" cm="1">
        <f t="array" ref="K50">INDEX('Switch Board'!$G$21:$H$24, MATCH(I50, {"Adult","Child","Concession - OAP","Student"}, 0), IF(J50="Area C", 2, 1))</f>
        <v>999</v>
      </c>
      <c r="L50" s="1" t="s">
        <v>151</v>
      </c>
      <c r="M50" s="1"/>
      <c r="N50" s="1" t="str">
        <f t="shared" si="3"/>
        <v>Available</v>
      </c>
      <c r="O50" s="1" t="str">
        <f t="shared" si="4"/>
        <v>Area C</v>
      </c>
      <c r="P50" s="5">
        <f t="shared" si="2"/>
        <v>45929</v>
      </c>
    </row>
    <row r="51" spans="1:16">
      <c r="A51" s="1" t="str">
        <f>IF(I51&lt;&gt;"", UPPER(LEFT(I51, 3)) &amp; TEXT(COUNTIF($I$3:I51, I51), "000"), "")</f>
        <v>CON008</v>
      </c>
      <c r="B51" s="1" t="s">
        <v>79</v>
      </c>
      <c r="C51" s="1" t="s">
        <v>128</v>
      </c>
      <c r="D51" s="1" t="s">
        <v>70</v>
      </c>
      <c r="E51" s="5">
        <v>21378</v>
      </c>
      <c r="F51" s="1">
        <f ca="1">DATEDIF(E3:E98,TODAY(),"y")</f>
        <v>66</v>
      </c>
      <c r="G51" s="1">
        <v>7558082653.6303196</v>
      </c>
      <c r="H51" s="5">
        <v>45632</v>
      </c>
      <c r="I51" s="1" t="s">
        <v>90</v>
      </c>
      <c r="J51" s="1" t="s">
        <v>18</v>
      </c>
      <c r="K51" s="31" cm="1">
        <f t="array" ref="K51">INDEX('Switch Board'!$G$21:$H$24, MATCH(I51, {"Adult","Child","Concession - OAP","Student"}, 0), IF(J51="Area C", 2, 1))</f>
        <v>515</v>
      </c>
      <c r="L51" s="1" t="s">
        <v>151</v>
      </c>
      <c r="M51" s="1"/>
      <c r="N51" s="1" t="str">
        <f t="shared" si="3"/>
        <v>Available</v>
      </c>
      <c r="O51" s="1" t="str">
        <f t="shared" si="4"/>
        <v>Area A</v>
      </c>
      <c r="P51" s="1"/>
    </row>
    <row r="52" spans="1:16">
      <c r="A52" s="1" t="str">
        <f>IF(I52&lt;&gt;"", UPPER(LEFT(I52, 3)) &amp; TEXT(COUNTIF($I$3:I52, I52), "000"), "")</f>
        <v>CON009</v>
      </c>
      <c r="B52" s="1" t="s">
        <v>78</v>
      </c>
      <c r="C52" s="1" t="s">
        <v>129</v>
      </c>
      <c r="D52" s="1" t="s">
        <v>69</v>
      </c>
      <c r="E52" s="5">
        <v>21998</v>
      </c>
      <c r="F52" s="1">
        <f ca="1">DATEDIF(E3:E99,TODAY(),"y")</f>
        <v>64</v>
      </c>
      <c r="G52" s="1">
        <v>7559132185.5182896</v>
      </c>
      <c r="H52" s="5">
        <v>45637</v>
      </c>
      <c r="I52" s="1" t="s">
        <v>90</v>
      </c>
      <c r="J52" s="1" t="s">
        <v>19</v>
      </c>
      <c r="K52" s="31" cm="1">
        <f t="array" ref="K52">INDEX('Switch Board'!$G$21:$H$24, MATCH(I52, {"Adult","Child","Concession - OAP","Student"}, 0), IF(J52="Area C", 2, 1))</f>
        <v>515</v>
      </c>
      <c r="L52" s="1" t="s">
        <v>151</v>
      </c>
      <c r="M52" s="1"/>
      <c r="N52" s="1" t="str">
        <f t="shared" si="3"/>
        <v>Available</v>
      </c>
      <c r="O52" s="1" t="str">
        <f t="shared" si="4"/>
        <v>Area B</v>
      </c>
      <c r="P52" s="1"/>
    </row>
    <row r="53" spans="1:16">
      <c r="A53" s="1" t="str">
        <f>IF(I53&lt;&gt;"", UPPER(LEFT(I53, 3)) &amp; TEXT(COUNTIF($I$3:I53, I53), "000"), "")</f>
        <v>STU008</v>
      </c>
      <c r="B53" s="1" t="s">
        <v>78</v>
      </c>
      <c r="C53" s="1" t="s">
        <v>130</v>
      </c>
      <c r="D53" s="1" t="s">
        <v>69</v>
      </c>
      <c r="E53" s="5">
        <v>20398</v>
      </c>
      <c r="F53" s="1">
        <f ca="1">DATEDIF(E3:E100,TODAY(),"y")</f>
        <v>69</v>
      </c>
      <c r="G53" s="1">
        <v>7560181717.4062595</v>
      </c>
      <c r="H53" s="5">
        <v>45639</v>
      </c>
      <c r="I53" s="1" t="s">
        <v>71</v>
      </c>
      <c r="J53" s="1" t="s">
        <v>19</v>
      </c>
      <c r="K53" s="31" cm="1">
        <f t="array" ref="K53">INDEX('Switch Board'!$G$21:$H$24, MATCH(I53, {"Adult","Child","Concession - OAP","Student"}, 0), IF(J53="Area C", 2, 1))</f>
        <v>405</v>
      </c>
      <c r="L53" s="1" t="s">
        <v>151</v>
      </c>
      <c r="M53" s="1"/>
      <c r="N53" s="1" t="str">
        <f t="shared" si="3"/>
        <v>Available</v>
      </c>
      <c r="O53" s="1" t="str">
        <f t="shared" si="4"/>
        <v>Area B</v>
      </c>
      <c r="P53" s="1"/>
    </row>
    <row r="54" spans="1:16">
      <c r="A54" s="1" t="str">
        <f>IF(I54&lt;&gt;"", UPPER(LEFT(I54, 3)) &amp; TEXT(COUNTIF($I$3:I54, I54), "000"), "")</f>
        <v>CHI007</v>
      </c>
      <c r="B54" s="1" t="s">
        <v>80</v>
      </c>
      <c r="C54" s="1" t="s">
        <v>131</v>
      </c>
      <c r="D54" s="1" t="s">
        <v>70</v>
      </c>
      <c r="E54" s="5">
        <v>19529</v>
      </c>
      <c r="F54" s="1">
        <f ca="1">DATEDIF(E3:E101,TODAY(),"y")</f>
        <v>71</v>
      </c>
      <c r="G54" s="1">
        <v>7561231249.29424</v>
      </c>
      <c r="H54" s="5">
        <v>45641</v>
      </c>
      <c r="I54" s="1" t="s">
        <v>14</v>
      </c>
      <c r="J54" s="1" t="s">
        <v>18</v>
      </c>
      <c r="K54" s="31" cm="1">
        <f t="array" ref="K54">INDEX('Switch Board'!$G$21:$H$24, MATCH(I54, {"Adult","Child","Concession - OAP","Student"}, 0), IF(J54="Area C", 2, 1))</f>
        <v>498</v>
      </c>
      <c r="L54" s="1" t="s">
        <v>151</v>
      </c>
      <c r="M54" s="1"/>
      <c r="N54" s="1" t="str">
        <f t="shared" si="3"/>
        <v>Available</v>
      </c>
      <c r="O54" s="1" t="str">
        <f t="shared" si="4"/>
        <v>Area A</v>
      </c>
      <c r="P54" s="1"/>
    </row>
    <row r="55" spans="1:16">
      <c r="A55" s="1" t="str">
        <f>IF(I55&lt;&gt;"", UPPER(LEFT(I55, 3)) &amp; TEXT(COUNTIF($I$3:I55, I55), "000"), "")</f>
        <v>CON010</v>
      </c>
      <c r="B55" s="1" t="s">
        <v>78</v>
      </c>
      <c r="C55" s="1" t="s">
        <v>132</v>
      </c>
      <c r="D55" s="1" t="s">
        <v>69</v>
      </c>
      <c r="E55" s="5">
        <v>22886</v>
      </c>
      <c r="F55" s="1">
        <f ca="1">DATEDIF(E3:E102,TODAY(),"y")</f>
        <v>62</v>
      </c>
      <c r="G55" s="1">
        <v>7562280781.18221</v>
      </c>
      <c r="H55" s="5">
        <v>45652</v>
      </c>
      <c r="I55" s="1" t="s">
        <v>90</v>
      </c>
      <c r="J55" s="1" t="s">
        <v>19</v>
      </c>
      <c r="K55" s="31" cm="1">
        <f t="array" ref="K55">INDEX('Switch Board'!$G$21:$H$24, MATCH(I55, {"Adult","Child","Concession - OAP","Student"}, 0), IF(J55="Area C", 2, 1))</f>
        <v>515</v>
      </c>
      <c r="L55" s="1" t="s">
        <v>151</v>
      </c>
      <c r="M55" s="1"/>
      <c r="N55" s="1" t="str">
        <f t="shared" si="3"/>
        <v>Available</v>
      </c>
      <c r="O55" s="1" t="str">
        <f t="shared" si="4"/>
        <v>Area B</v>
      </c>
      <c r="P55" s="1"/>
    </row>
    <row r="56" spans="1:16">
      <c r="A56" s="1" t="str">
        <f>IF(I56&lt;&gt;"", UPPER(LEFT(I56, 3)) &amp; TEXT(COUNTIF($I$3:I56, I56), "000"), "")</f>
        <v>CHI008</v>
      </c>
      <c r="B56" s="1" t="s">
        <v>79</v>
      </c>
      <c r="C56" s="1" t="s">
        <v>133</v>
      </c>
      <c r="D56" s="1" t="s">
        <v>70</v>
      </c>
      <c r="E56" s="5">
        <v>18642</v>
      </c>
      <c r="F56" s="1">
        <f ca="1">DATEDIF(E3:E103,TODAY(),"y")</f>
        <v>74</v>
      </c>
      <c r="G56" s="1">
        <v>7563330313.0701799</v>
      </c>
      <c r="H56" s="5">
        <v>45655</v>
      </c>
      <c r="I56" s="1" t="s">
        <v>14</v>
      </c>
      <c r="J56" s="1" t="s">
        <v>19</v>
      </c>
      <c r="K56" s="31" cm="1">
        <f t="array" ref="K56">INDEX('Switch Board'!$G$21:$H$24, MATCH(I56, {"Adult","Child","Concession - OAP","Student"}, 0), IF(J56="Area C", 2, 1))</f>
        <v>498</v>
      </c>
      <c r="L56" s="1" t="s">
        <v>151</v>
      </c>
      <c r="M56" s="1"/>
      <c r="N56" s="1" t="str">
        <f t="shared" si="3"/>
        <v>Available</v>
      </c>
      <c r="O56" s="1" t="str">
        <f t="shared" si="4"/>
        <v>Area B</v>
      </c>
      <c r="P56" s="1"/>
    </row>
    <row r="57" spans="1:16">
      <c r="A57" s="1" t="str">
        <f>IF(I57&lt;&gt;"", UPPER(LEFT(I57, 3)) &amp; TEXT(COUNTIF($I$3:I57, I57), "000"), "")</f>
        <v>CON011</v>
      </c>
      <c r="B57" s="1" t="s">
        <v>79</v>
      </c>
      <c r="C57" s="1" t="s">
        <v>134</v>
      </c>
      <c r="D57" s="1" t="s">
        <v>69</v>
      </c>
      <c r="E57" s="5">
        <v>40430</v>
      </c>
      <c r="F57" s="1">
        <f ca="1">DATEDIF(E3:E104,TODAY(),"y")</f>
        <v>14</v>
      </c>
      <c r="G57" s="1">
        <v>7564379844.9581499</v>
      </c>
      <c r="H57" s="5">
        <v>45663</v>
      </c>
      <c r="I57" s="1" t="s">
        <v>90</v>
      </c>
      <c r="J57" s="1" t="s">
        <v>18</v>
      </c>
      <c r="K57" s="31" cm="1">
        <f t="array" ref="K57">INDEX('Switch Board'!$G$21:$H$24, MATCH(I57, {"Adult","Child","Concession - OAP","Student"}, 0), IF(J57="Area C", 2, 1))</f>
        <v>515</v>
      </c>
      <c r="L57" s="1" t="s">
        <v>151</v>
      </c>
      <c r="M57" s="1"/>
      <c r="N57" s="1" t="str">
        <f t="shared" si="3"/>
        <v>Available</v>
      </c>
      <c r="O57" s="1" t="str">
        <f t="shared" si="4"/>
        <v>Area A</v>
      </c>
      <c r="P57" s="1"/>
    </row>
    <row r="58" spans="1:16">
      <c r="A58" s="1" t="str">
        <f>IF(I58&lt;&gt;"", UPPER(LEFT(I58, 3)) &amp; TEXT(COUNTIF($I$3:I58, I58), "000"), "")</f>
        <v>STU009</v>
      </c>
      <c r="B58" s="1" t="s">
        <v>79</v>
      </c>
      <c r="C58" s="1" t="s">
        <v>135</v>
      </c>
      <c r="D58" s="1" t="s">
        <v>70</v>
      </c>
      <c r="E58" s="5">
        <v>40960</v>
      </c>
      <c r="F58" s="1">
        <f ca="1">DATEDIF(E3:E105,TODAY(),"y")</f>
        <v>13</v>
      </c>
      <c r="G58" s="1">
        <v>7565429376.8461199</v>
      </c>
      <c r="H58" s="5">
        <v>45667</v>
      </c>
      <c r="I58" s="1" t="s">
        <v>71</v>
      </c>
      <c r="J58" s="1" t="s">
        <v>19</v>
      </c>
      <c r="K58" s="31" cm="1">
        <f t="array" ref="K58">INDEX('Switch Board'!$G$21:$H$24, MATCH(I58, {"Adult","Child","Concession - OAP","Student"}, 0), IF(J58="Area C", 2, 1))</f>
        <v>405</v>
      </c>
      <c r="L58" t="s">
        <v>151</v>
      </c>
      <c r="M58" s="1"/>
      <c r="N58" s="1" t="str">
        <f t="shared" si="3"/>
        <v>Available</v>
      </c>
      <c r="O58" s="1" t="str">
        <f t="shared" si="4"/>
        <v>Area B</v>
      </c>
      <c r="P58" s="1"/>
    </row>
    <row r="59" spans="1:16">
      <c r="A59" s="1" t="str">
        <f>IF(I59&lt;&gt;"", UPPER(LEFT(I59, 3)) &amp; TEXT(COUNTIF($I$3:I59, I59), "000"), "")</f>
        <v>STU010</v>
      </c>
      <c r="B59" s="1" t="s">
        <v>78</v>
      </c>
      <c r="C59" s="1" t="s">
        <v>136</v>
      </c>
      <c r="D59" s="1" t="s">
        <v>69</v>
      </c>
      <c r="E59" s="5">
        <v>39936</v>
      </c>
      <c r="F59" s="1">
        <f ca="1">DATEDIF(E3:E106,TODAY(),"y")</f>
        <v>15</v>
      </c>
      <c r="G59" s="1">
        <v>7566478908.7341003</v>
      </c>
      <c r="H59" s="5">
        <v>45669</v>
      </c>
      <c r="I59" s="1" t="s">
        <v>71</v>
      </c>
      <c r="J59" s="1" t="s">
        <v>19</v>
      </c>
      <c r="K59" s="31" cm="1">
        <f t="array" ref="K59">INDEX('Switch Board'!$G$21:$H$24, MATCH(I59, {"Adult","Child","Concession - OAP","Student"}, 0), IF(J59="Area C", 2, 1))</f>
        <v>405</v>
      </c>
      <c r="L59" s="1" t="s">
        <v>151</v>
      </c>
      <c r="M59" s="1"/>
      <c r="N59" s="1" t="str">
        <f t="shared" si="3"/>
        <v>Available</v>
      </c>
      <c r="O59" s="1" t="str">
        <f t="shared" si="4"/>
        <v>Area B</v>
      </c>
      <c r="P59" s="1"/>
    </row>
    <row r="60" spans="1:16">
      <c r="A60" s="1" t="str">
        <f>IF(I60&lt;&gt;"", UPPER(LEFT(I60, 3)) &amp; TEXT(COUNTIF($I$3:I60, I60), "000"), "")</f>
        <v>CHI009</v>
      </c>
      <c r="B60" s="1" t="s">
        <v>79</v>
      </c>
      <c r="C60" s="1" t="s">
        <v>137</v>
      </c>
      <c r="D60" s="1" t="s">
        <v>70</v>
      </c>
      <c r="E60" s="5">
        <v>40864</v>
      </c>
      <c r="F60" s="1">
        <f ca="1">DATEDIF(E3:E107,TODAY(),"y")</f>
        <v>13</v>
      </c>
      <c r="G60" s="1">
        <v>7567528440.6220703</v>
      </c>
      <c r="H60" s="5">
        <v>45670</v>
      </c>
      <c r="I60" s="1" t="s">
        <v>14</v>
      </c>
      <c r="J60" s="1" t="s">
        <v>19</v>
      </c>
      <c r="K60" s="31" cm="1">
        <f t="array" ref="K60">INDEX('Switch Board'!$G$21:$H$24, MATCH(I60, {"Adult","Child","Concession - OAP","Student"}, 0), IF(J60="Area C", 2, 1))</f>
        <v>498</v>
      </c>
      <c r="L60" s="1" t="s">
        <v>151</v>
      </c>
      <c r="M60" s="1"/>
      <c r="N60" s="1" t="str">
        <f t="shared" si="3"/>
        <v>Available</v>
      </c>
      <c r="O60" s="1" t="str">
        <f t="shared" si="4"/>
        <v>Area B</v>
      </c>
      <c r="P60" s="1"/>
    </row>
    <row r="61" spans="1:16">
      <c r="A61" s="1" t="str">
        <f>IF(I61&lt;&gt;"", UPPER(LEFT(I61, 3)) &amp; TEXT(COUNTIF($I$3:I61, I61), "000"), "")</f>
        <v>STU011</v>
      </c>
      <c r="B61" s="1" t="s">
        <v>78</v>
      </c>
      <c r="C61" s="1" t="s">
        <v>138</v>
      </c>
      <c r="D61" s="1" t="s">
        <v>69</v>
      </c>
      <c r="E61" s="5">
        <v>39625</v>
      </c>
      <c r="F61" s="1">
        <f ca="1">DATEDIF(E3:E108,TODAY(),"y")</f>
        <v>16</v>
      </c>
      <c r="G61" s="1">
        <v>7568577972.5100403</v>
      </c>
      <c r="H61" s="5">
        <v>45671</v>
      </c>
      <c r="I61" s="1" t="s">
        <v>71</v>
      </c>
      <c r="J61" s="1" t="s">
        <v>87</v>
      </c>
      <c r="K61" s="31" cm="1">
        <f t="array" ref="K61">INDEX('Switch Board'!$G$21:$H$24, MATCH(I61, {"Adult","Child","Concession - OAP","Student"}, 0), IF(J61="Area C", 2, 1))</f>
        <v>695</v>
      </c>
      <c r="L61" s="1" t="s">
        <v>151</v>
      </c>
      <c r="M61" s="1"/>
      <c r="N61" s="1" t="str">
        <f t="shared" si="3"/>
        <v>Available</v>
      </c>
      <c r="O61" s="1" t="str">
        <f t="shared" si="4"/>
        <v>Area C</v>
      </c>
      <c r="P61" s="1"/>
    </row>
    <row r="62" spans="1:16">
      <c r="A62" s="1" t="str">
        <f>IF(I62&lt;&gt;"", UPPER(LEFT(I62, 3)) &amp; TEXT(COUNTIF($I$3:I62, I62), "000"), "")</f>
        <v>ADU029</v>
      </c>
      <c r="B62" s="1" t="s">
        <v>78</v>
      </c>
      <c r="C62" s="1" t="s">
        <v>139</v>
      </c>
      <c r="D62" s="1" t="s">
        <v>69</v>
      </c>
      <c r="E62" s="5">
        <v>35887</v>
      </c>
      <c r="F62" s="1">
        <f ca="1">DATEDIF(E3:E109,TODAY(),"y")</f>
        <v>26</v>
      </c>
      <c r="G62" s="1">
        <v>7569627504.3980103</v>
      </c>
      <c r="H62" s="5">
        <v>45675</v>
      </c>
      <c r="I62" s="1" t="s">
        <v>13</v>
      </c>
      <c r="J62" s="1" t="s">
        <v>19</v>
      </c>
      <c r="K62" s="31" cm="1">
        <f t="array" ref="K62">INDEX('Switch Board'!$G$21:$H$24, MATCH(I62, {"Adult","Child","Concession - OAP","Student"}, 0), IF(J62="Area C", 2, 1))</f>
        <v>759</v>
      </c>
      <c r="L62" s="1" t="s">
        <v>151</v>
      </c>
      <c r="M62" s="1"/>
      <c r="N62" s="1" t="str">
        <f t="shared" si="3"/>
        <v>Available</v>
      </c>
      <c r="O62" s="1" t="str">
        <f t="shared" si="4"/>
        <v>Area B</v>
      </c>
      <c r="P62" s="1"/>
    </row>
    <row r="63" spans="1:16">
      <c r="A63" s="1" t="str">
        <f>IF(I63&lt;&gt;"", UPPER(LEFT(I63, 3)) &amp; TEXT(COUNTIF($I$3:I63, I63), "000"), "")</f>
        <v>CON012</v>
      </c>
      <c r="B63" s="1" t="s">
        <v>80</v>
      </c>
      <c r="C63" s="1" t="s">
        <v>140</v>
      </c>
      <c r="D63" s="1" t="s">
        <v>70</v>
      </c>
      <c r="E63" s="5">
        <v>37175</v>
      </c>
      <c r="F63" s="1">
        <f ca="1">DATEDIF(E3:E110,TODAY(),"y")</f>
        <v>23</v>
      </c>
      <c r="G63" s="1">
        <v>7570677036.2859802</v>
      </c>
      <c r="H63" s="5">
        <v>45676</v>
      </c>
      <c r="I63" s="1" t="s">
        <v>90</v>
      </c>
      <c r="J63" s="1" t="s">
        <v>87</v>
      </c>
      <c r="K63" s="31" cm="1">
        <f t="array" ref="K63">INDEX('Switch Board'!$G$21:$H$24, MATCH(I63, {"Adult","Child","Concession - OAP","Student"}, 0), IF(J63="Area C", 2, 1))</f>
        <v>705</v>
      </c>
      <c r="L63" s="1" t="s">
        <v>151</v>
      </c>
      <c r="M63" s="1"/>
      <c r="N63" s="1" t="str">
        <f t="shared" si="3"/>
        <v>Available</v>
      </c>
      <c r="O63" s="1" t="str">
        <f t="shared" si="4"/>
        <v>Area C</v>
      </c>
      <c r="P63" s="1"/>
    </row>
    <row r="64" spans="1:16">
      <c r="A64" s="1" t="str">
        <f>IF(I64&lt;&gt;"", UPPER(LEFT(I64, 3)) &amp; TEXT(COUNTIF($I$3:I64, I64), "000"), "")</f>
        <v>STU012</v>
      </c>
      <c r="B64" s="1" t="s">
        <v>78</v>
      </c>
      <c r="C64" s="1" t="s">
        <v>141</v>
      </c>
      <c r="D64" s="1" t="s">
        <v>69</v>
      </c>
      <c r="E64" s="5">
        <v>35038</v>
      </c>
      <c r="F64" s="1">
        <f ca="1">DATEDIF(E3:E111,TODAY(),"y")</f>
        <v>29</v>
      </c>
      <c r="G64" s="1">
        <v>7571726568.1739597</v>
      </c>
      <c r="H64" s="5">
        <v>45677</v>
      </c>
      <c r="I64" s="1" t="s">
        <v>71</v>
      </c>
      <c r="J64" s="1" t="s">
        <v>18</v>
      </c>
      <c r="K64" s="31" cm="1">
        <f t="array" ref="K64">INDEX('Switch Board'!$G$21:$H$24, MATCH(I64, {"Adult","Child","Concession - OAP","Student"}, 0), IF(J64="Area C", 2, 1))</f>
        <v>405</v>
      </c>
      <c r="L64" s="1" t="s">
        <v>151</v>
      </c>
      <c r="M64" s="1"/>
      <c r="N64" s="1" t="str">
        <f t="shared" si="3"/>
        <v>Available</v>
      </c>
      <c r="O64" s="1" t="str">
        <f t="shared" si="4"/>
        <v>Area A</v>
      </c>
      <c r="P64" s="1"/>
    </row>
    <row r="65" spans="1:16">
      <c r="A65" s="1" t="str">
        <f>IF(I65&lt;&gt;"", UPPER(LEFT(I65, 3)) &amp; TEXT(COUNTIF($I$3:I65, I65), "000"), "")</f>
        <v>STU013</v>
      </c>
      <c r="B65" s="1" t="s">
        <v>79</v>
      </c>
      <c r="C65" s="1" t="s">
        <v>142</v>
      </c>
      <c r="D65" s="1" t="s">
        <v>70</v>
      </c>
      <c r="E65" s="5">
        <v>33815</v>
      </c>
      <c r="F65" s="1">
        <f ca="1">DATEDIF(E3:E112,TODAY(),"y")</f>
        <v>32</v>
      </c>
      <c r="G65" s="1">
        <v>7572776100.0619297</v>
      </c>
      <c r="H65" s="5">
        <v>45683</v>
      </c>
      <c r="I65" s="1" t="s">
        <v>71</v>
      </c>
      <c r="J65" s="1" t="s">
        <v>18</v>
      </c>
      <c r="K65" s="31" cm="1">
        <f t="array" ref="K65">INDEX('Switch Board'!$G$21:$H$24, MATCH(I65, {"Adult","Child","Concession - OAP","Student"}, 0), IF(J65="Area C", 2, 1))</f>
        <v>405</v>
      </c>
      <c r="L65" s="1" t="s">
        <v>151</v>
      </c>
      <c r="M65" s="1"/>
      <c r="N65" s="1" t="str">
        <f t="shared" si="3"/>
        <v>Available</v>
      </c>
      <c r="O65" s="1" t="str">
        <f t="shared" si="4"/>
        <v>Area A</v>
      </c>
      <c r="P65" s="1"/>
    </row>
    <row r="66" spans="1:16">
      <c r="A66" s="1" t="str">
        <f>IF(I66&lt;&gt;"", UPPER(LEFT(I66, 3)) &amp; TEXT(COUNTIF($I$3:I66, I66), "000"), "")</f>
        <v>CHI010</v>
      </c>
      <c r="B66" s="1" t="s">
        <v>78</v>
      </c>
      <c r="C66" s="1" t="s">
        <v>143</v>
      </c>
      <c r="D66" s="1" t="s">
        <v>69</v>
      </c>
      <c r="E66" s="5">
        <v>32585</v>
      </c>
      <c r="F66" s="1">
        <f ca="1">DATEDIF(E3:E113,TODAY(),"y")</f>
        <v>35</v>
      </c>
      <c r="G66" s="1">
        <v>7573825631.9498997</v>
      </c>
      <c r="H66" s="5">
        <v>45685</v>
      </c>
      <c r="I66" s="1" t="s">
        <v>14</v>
      </c>
      <c r="J66" s="1" t="s">
        <v>87</v>
      </c>
      <c r="K66" s="31" cm="1">
        <f t="array" ref="K66">INDEX('Switch Board'!$G$21:$H$24, MATCH(I66, {"Adult","Child","Concession - OAP","Student"}, 0), IF(J66="Area C", 2, 1))</f>
        <v>665</v>
      </c>
      <c r="L66" s="1" t="s">
        <v>151</v>
      </c>
      <c r="M66" s="1"/>
      <c r="N66" s="1" t="str">
        <f t="shared" si="3"/>
        <v>Available</v>
      </c>
      <c r="O66" s="1" t="str">
        <f t="shared" si="4"/>
        <v>Area C</v>
      </c>
      <c r="P66" s="1"/>
    </row>
    <row r="67" spans="1:16">
      <c r="A67" s="1" t="str">
        <f>IF(I67&lt;&gt;"", UPPER(LEFT(I67, 3)) &amp; TEXT(COUNTIF($I$3:I67, I67), "000"), "")</f>
        <v>ADU030</v>
      </c>
      <c r="B67" s="1" t="s">
        <v>79</v>
      </c>
      <c r="C67" s="1" t="s">
        <v>144</v>
      </c>
      <c r="D67" s="1" t="s">
        <v>70</v>
      </c>
      <c r="E67" s="5">
        <v>36653</v>
      </c>
      <c r="F67" s="1">
        <f ca="1">DATEDIF(E3:E114,TODAY(),"y")</f>
        <v>24</v>
      </c>
      <c r="G67" s="1">
        <v>7574875163.8378696</v>
      </c>
      <c r="H67" s="5">
        <v>45686</v>
      </c>
      <c r="I67" s="1" t="s">
        <v>13</v>
      </c>
      <c r="J67" s="1" t="s">
        <v>87</v>
      </c>
      <c r="K67" s="31" cm="1">
        <f t="array" ref="K67">INDEX('Switch Board'!$G$21:$H$24, MATCH(I67, {"Adult","Child","Concession - OAP","Student"}, 0), IF(J67="Area C", 2, 1))</f>
        <v>999</v>
      </c>
      <c r="L67" s="1" t="s">
        <v>151</v>
      </c>
      <c r="M67" s="1"/>
      <c r="N67" s="1" t="str">
        <f t="shared" ref="N67:N72" si="5">IF(L67="Successful", "Available", IF(L67="Pending", "N/A", IF(L67="Unsuccessful", "Not Available", "")))</f>
        <v>Available</v>
      </c>
      <c r="O67" s="1" t="str">
        <f t="shared" ref="O67:O72" si="6">IF(L67="Successful", J67, "N/A")</f>
        <v>Area C</v>
      </c>
      <c r="P67" s="1"/>
    </row>
    <row r="68" spans="1:16">
      <c r="A68" s="1" t="str">
        <f>IF(I68&lt;&gt;"", UPPER(LEFT(I68, 3)) &amp; TEXT(COUNTIF($I$3:I68, I68), "000"), "")</f>
        <v>STU014</v>
      </c>
      <c r="B68" s="1" t="s">
        <v>78</v>
      </c>
      <c r="C68" s="1" t="s">
        <v>145</v>
      </c>
      <c r="D68" s="1" t="s">
        <v>69</v>
      </c>
      <c r="E68" s="5">
        <v>31680</v>
      </c>
      <c r="F68" s="1">
        <f ca="1">DATEDIF(E3:E115,TODAY(),"y")</f>
        <v>38</v>
      </c>
      <c r="G68" s="1">
        <v>7575924695.7258501</v>
      </c>
      <c r="H68" s="5">
        <v>45689</v>
      </c>
      <c r="I68" s="1" t="s">
        <v>71</v>
      </c>
      <c r="J68" s="1" t="s">
        <v>18</v>
      </c>
      <c r="K68" s="31" cm="1">
        <f t="array" ref="K68">INDEX('Switch Board'!$G$21:$H$24, MATCH(I68, {"Adult","Child","Concession - OAP","Student"}, 0), IF(J68="Area C", 2, 1))</f>
        <v>405</v>
      </c>
      <c r="L68" s="1" t="s">
        <v>151</v>
      </c>
      <c r="M68" s="1"/>
      <c r="N68" s="1" t="str">
        <f t="shared" si="5"/>
        <v>Available</v>
      </c>
      <c r="O68" s="1" t="str">
        <f t="shared" si="6"/>
        <v>Area A</v>
      </c>
      <c r="P68" s="1"/>
    </row>
    <row r="69" spans="1:16">
      <c r="A69" s="1" t="str">
        <f>IF(I69&lt;&gt;"", UPPER(LEFT(I69, 3)) &amp; TEXT(COUNTIF($I$3:I69, I69), "000"), "")</f>
        <v>CHI011</v>
      </c>
      <c r="B69" s="1" t="s">
        <v>80</v>
      </c>
      <c r="C69" s="1" t="s">
        <v>146</v>
      </c>
      <c r="D69" s="1" t="s">
        <v>70</v>
      </c>
      <c r="E69" s="5">
        <v>33094</v>
      </c>
      <c r="F69" s="1">
        <f ca="1">DATEDIF(E3:E116,TODAY(),"y")</f>
        <v>34</v>
      </c>
      <c r="G69" s="1">
        <v>7576974227.6138201</v>
      </c>
      <c r="H69" s="5">
        <v>45690</v>
      </c>
      <c r="I69" s="1" t="s">
        <v>14</v>
      </c>
      <c r="J69" s="1" t="s">
        <v>19</v>
      </c>
      <c r="K69" s="31" cm="1">
        <f t="array" ref="K69">INDEX('Switch Board'!$G$21:$H$24, MATCH(I69, {"Adult","Child","Concession - OAP","Student"}, 0), IF(J69="Area C", 2, 1))</f>
        <v>498</v>
      </c>
      <c r="L69" s="1" t="s">
        <v>153</v>
      </c>
      <c r="M69" s="1"/>
      <c r="N69" s="1" t="str">
        <f t="shared" si="5"/>
        <v>N/A</v>
      </c>
      <c r="O69" s="1" t="str">
        <f t="shared" si="6"/>
        <v>N/A</v>
      </c>
      <c r="P69" s="1"/>
    </row>
    <row r="70" spans="1:16">
      <c r="A70" s="1" t="str">
        <f>IF(I70&lt;&gt;"", UPPER(LEFT(I70, 3)) &amp; TEXT(COUNTIF($I$3:I70, I70), "000"), "")</f>
        <v>ADU031</v>
      </c>
      <c r="B70" s="1" t="s">
        <v>78</v>
      </c>
      <c r="C70" s="1" t="s">
        <v>147</v>
      </c>
      <c r="D70" s="1" t="s">
        <v>69</v>
      </c>
      <c r="E70" s="5">
        <v>35442</v>
      </c>
      <c r="F70" s="1">
        <f ca="1">DATEDIF(E3:E117,TODAY(),"y")</f>
        <v>28</v>
      </c>
      <c r="G70" s="1">
        <v>7578023759.50179</v>
      </c>
      <c r="H70" s="5">
        <v>45692</v>
      </c>
      <c r="I70" s="1" t="s">
        <v>13</v>
      </c>
      <c r="J70" s="1" t="s">
        <v>87</v>
      </c>
      <c r="K70" s="31" cm="1">
        <f t="array" ref="K70">INDEX('Switch Board'!$G$21:$H$24, MATCH(I70, {"Adult","Child","Concession - OAP","Student"}, 0), IF(J70="Area C", 2, 1))</f>
        <v>999</v>
      </c>
      <c r="L70" s="1" t="s">
        <v>151</v>
      </c>
      <c r="M70" s="1"/>
      <c r="N70" s="1" t="str">
        <f t="shared" si="5"/>
        <v>Available</v>
      </c>
      <c r="O70" s="1" t="str">
        <f t="shared" si="6"/>
        <v>Area C</v>
      </c>
      <c r="P70" s="1"/>
    </row>
    <row r="71" spans="1:16">
      <c r="A71" s="1" t="str">
        <f>IF(I71&lt;&gt;"", UPPER(LEFT(I71, 3)) &amp; TEXT(COUNTIF($I$3:I71, I71), "000"), "")</f>
        <v>CON013</v>
      </c>
      <c r="B71" s="1" t="s">
        <v>79</v>
      </c>
      <c r="C71" s="1" t="s">
        <v>148</v>
      </c>
      <c r="D71" s="1" t="s">
        <v>70</v>
      </c>
      <c r="E71" s="5">
        <v>36500</v>
      </c>
      <c r="F71" s="1">
        <f ca="1">DATEDIF(E3:E118,TODAY(),"y")</f>
        <v>25</v>
      </c>
      <c r="G71" s="1">
        <v>7579073291.38976</v>
      </c>
      <c r="H71" s="5">
        <v>45694</v>
      </c>
      <c r="I71" s="1" t="s">
        <v>90</v>
      </c>
      <c r="J71" s="1" t="s">
        <v>19</v>
      </c>
      <c r="K71" s="31" cm="1">
        <f t="array" ref="K71">INDEX('Switch Board'!$G$21:$H$24, MATCH(I71, {"Adult","Child","Concession - OAP","Student"}, 0), IF(J71="Area C", 2, 1))</f>
        <v>515</v>
      </c>
      <c r="L71" s="1" t="s">
        <v>151</v>
      </c>
      <c r="M71" s="1"/>
      <c r="N71" s="1" t="str">
        <f t="shared" si="5"/>
        <v>Available</v>
      </c>
      <c r="O71" s="1" t="str">
        <f t="shared" si="6"/>
        <v>Area B</v>
      </c>
      <c r="P71" s="1"/>
    </row>
    <row r="72" spans="1:16">
      <c r="A72" s="1" t="str">
        <f>IF(I72&lt;&gt;"", UPPER(LEFT(I72, 3)) &amp; TEXT(COUNTIF($I$3:I72, I72), "000"), "")</f>
        <v>STU015</v>
      </c>
      <c r="B72" s="1" t="s">
        <v>78</v>
      </c>
      <c r="C72" s="1" t="s">
        <v>149</v>
      </c>
      <c r="D72" s="1" t="s">
        <v>69</v>
      </c>
      <c r="E72" s="5">
        <v>34387</v>
      </c>
      <c r="F72" s="1">
        <f ca="1">DATEDIF(E3:E119,TODAY(),"y")</f>
        <v>31</v>
      </c>
      <c r="G72" s="1">
        <v>7580122823.27773</v>
      </c>
      <c r="H72" s="5">
        <v>45696</v>
      </c>
      <c r="I72" s="1" t="s">
        <v>71</v>
      </c>
      <c r="J72" s="1" t="s">
        <v>19</v>
      </c>
      <c r="K72" s="31" cm="1">
        <f t="array" ref="K72">INDEX('Switch Board'!$G$21:$H$24, MATCH(I72, {"Adult","Child","Concession - OAP","Student"}, 0), IF(J72="Area C", 2, 1))</f>
        <v>405</v>
      </c>
      <c r="L72" s="1" t="s">
        <v>151</v>
      </c>
      <c r="M72" s="1"/>
      <c r="N72" s="1" t="str">
        <f t="shared" si="5"/>
        <v>Available</v>
      </c>
      <c r="O72" s="1" t="str">
        <f t="shared" si="6"/>
        <v>Area B</v>
      </c>
      <c r="P72" s="1"/>
    </row>
  </sheetData>
  <mergeCells count="1">
    <mergeCell ref="A1:M1"/>
  </mergeCells>
  <conditionalFormatting sqref="I3:I72">
    <cfRule type="cellIs" dxfId="6" priority="6" operator="equal">
      <formula>"Student"</formula>
    </cfRule>
    <cfRule type="cellIs" dxfId="5" priority="7" operator="equal">
      <formula>"Concession - OAP"</formula>
    </cfRule>
    <cfRule type="cellIs" dxfId="4" priority="8" operator="equal">
      <formula>"Adult"</formula>
    </cfRule>
    <cfRule type="cellIs" dxfId="3" priority="9" operator="equal">
      <formula>"Child"</formula>
    </cfRule>
  </conditionalFormatting>
  <conditionalFormatting sqref="L3:L72">
    <cfRule type="cellIs" dxfId="2" priority="1" stopIfTrue="1" operator="equal">
      <formula>"Unsuccessful"</formula>
    </cfRule>
    <cfRule type="cellIs" dxfId="1" priority="3" stopIfTrue="1" operator="equal">
      <formula>"Pending"</formula>
    </cfRule>
    <cfRule type="cellIs" dxfId="0" priority="4" stopIfTrue="1" operator="equal">
      <formula>"Successful"</formula>
    </cfRule>
  </conditionalFormatting>
  <dataValidations xWindow="531" yWindow="431" count="5">
    <dataValidation type="list" allowBlank="1" showInputMessage="1" showErrorMessage="1" errorTitle="Error In Requested Seating Area" error="Select From:_x000a_Area A_x000a_Area B_x000a_Area C" promptTitle="Select Requested Seating Area" prompt="Sselect From:_x000a_Area A_x000a_Area B_x000a_Area C" sqref="J3:J72" xr:uid="{00000000-0002-0000-0100-000001000000}">
      <formula1>"Area A, Area B, Area C"</formula1>
    </dataValidation>
    <dataValidation type="list" allowBlank="1" showInputMessage="1" showErrorMessage="1" errorTitle="Error in Title" error="Choose only from:_x000a_Mr, Miss, Mrs, Other" promptTitle="Choose Title" prompt="Choose Title:_x000a_Mr, Miss, Mrs, Other" sqref="B3:B72" xr:uid="{00000000-0002-0000-0100-000003000000}">
      <formula1>"Mr, Miss, Mrs, Other"</formula1>
    </dataValidation>
    <dataValidation type="list" allowBlank="1" showInputMessage="1" showErrorMessage="1" errorTitle="Error in Ticket Type" error="Select From:_x000a_Adult, Child, Concession - OAP,Student" promptTitle="Select Ticket Type" prompt="Select from:_x000a_Adult_x000a_Child_x000a_Concession - OAP_x000a_Student" sqref="I3:I72" xr:uid="{00000000-0002-0000-0100-000004000000}">
      <formula1>"Adult, Child, Student, Concession - OAP"</formula1>
    </dataValidation>
    <dataValidation type="list" allowBlank="1" showInputMessage="1" showErrorMessage="1" errorTitle="Error in Application status" error="choose only from:_x000a_Pending, Successful, Unsuccessful" promptTitle="Select Application Status" prompt="choose from:_x000a_Pending_x000a_Successful_x000a_Unsuccessful_x000a__x000a_" sqref="L3:L72" xr:uid="{00000000-0002-0000-0100-000005000000}">
      <formula1>"Pending, Successful, Unsuccessful"</formula1>
    </dataValidation>
    <dataValidation type="list" allowBlank="1" showInputMessage="1" showErrorMessage="1" errorTitle="Error in Gender" error="Choose only From:_x000a_Male, Female, Other " promptTitle="Choose Gender" prompt="Choose from:_x000a_Male_x000a_Female_x000a_Other" sqref="D3:D72" xr:uid="{111A4ACB-09CB-40B6-8D82-7D49180F88E1}">
      <formula1>"Male, Female, Other"</formula1>
    </dataValidation>
  </dataValidation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3"/>
  <sheetViews>
    <sheetView workbookViewId="0">
      <selection activeCell="E45" sqref="E45"/>
    </sheetView>
  </sheetViews>
  <sheetFormatPr baseColWidth="10" defaultColWidth="8.6640625" defaultRowHeight="15"/>
  <cols>
    <col min="1" max="1" width="33.1640625" customWidth="1"/>
    <col min="2" max="2" width="18" customWidth="1"/>
    <col min="4" max="4" width="19.5" customWidth="1"/>
    <col min="5" max="5" width="15.83203125" customWidth="1"/>
    <col min="6" max="6" width="13.33203125" customWidth="1"/>
    <col min="7" max="7" width="10.5" customWidth="1"/>
  </cols>
  <sheetData>
    <row r="1" spans="1:16" ht="24">
      <c r="A1" s="48" t="s">
        <v>6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</row>
    <row r="2" spans="1:16">
      <c r="A2" s="47" t="s">
        <v>95</v>
      </c>
      <c r="B2" s="47"/>
    </row>
    <row r="3" spans="1:16">
      <c r="A3" s="3" t="s">
        <v>7</v>
      </c>
      <c r="B3" s="3" t="s">
        <v>8</v>
      </c>
    </row>
    <row r="4" spans="1:16">
      <c r="A4" s="2" t="s">
        <v>11</v>
      </c>
      <c r="B4" s="1">
        <f>COUNTA('Ticket-holder details'!I3:I72)</f>
        <v>70</v>
      </c>
    </row>
    <row r="5" spans="1:16">
      <c r="A5" s="1" t="s">
        <v>9</v>
      </c>
      <c r="B5" s="1">
        <f>COUNTIF('Ticket-holder details'!L3:L72,"Successful")</f>
        <v>55</v>
      </c>
    </row>
    <row r="6" spans="1:16">
      <c r="A6" s="1" t="s">
        <v>155</v>
      </c>
      <c r="B6" s="1">
        <f>COUNTIF('Ticket-holder details'!L3:L72,"Pending")</f>
        <v>9</v>
      </c>
    </row>
    <row r="7" spans="1:16">
      <c r="A7" s="1" t="s">
        <v>10</v>
      </c>
      <c r="B7" s="1">
        <f>COUNTIF('Ticket-holder details'!L3:L72,"Unsuccessful")</f>
        <v>6</v>
      </c>
    </row>
    <row r="9" spans="1:16">
      <c r="A9" s="28" t="s">
        <v>95</v>
      </c>
      <c r="B9" s="28"/>
    </row>
    <row r="10" spans="1:16">
      <c r="A10" s="3" t="s">
        <v>12</v>
      </c>
      <c r="B10" s="3" t="s">
        <v>11</v>
      </c>
      <c r="C10" s="27"/>
    </row>
    <row r="11" spans="1:16">
      <c r="A11" s="1" t="s">
        <v>13</v>
      </c>
      <c r="B11" s="1">
        <f>COUNTIF('Ticket-holder details'!I3:I72,"Adult")</f>
        <v>31</v>
      </c>
    </row>
    <row r="12" spans="1:16">
      <c r="A12" s="1" t="s">
        <v>14</v>
      </c>
      <c r="B12" s="1">
        <f>COUNTIF('Ticket-holder details'!I3:I72,"Child")</f>
        <v>11</v>
      </c>
    </row>
    <row r="13" spans="1:16">
      <c r="A13" s="1" t="s">
        <v>90</v>
      </c>
      <c r="B13" s="1">
        <f>COUNTIF('Ticket-holder details'!I3:I72,"Concession - OAP")</f>
        <v>13</v>
      </c>
    </row>
    <row r="14" spans="1:16">
      <c r="A14" s="1" t="s">
        <v>71</v>
      </c>
      <c r="B14" s="1">
        <f>COUNTIF('Ticket-holder details'!I3:I72,"Student")</f>
        <v>15</v>
      </c>
    </row>
    <row r="15" spans="1:16">
      <c r="A15" s="1" t="s">
        <v>15</v>
      </c>
      <c r="B15" s="1">
        <f>SUM(B11:B14)</f>
        <v>70</v>
      </c>
    </row>
    <row r="17" spans="1:5">
      <c r="A17" s="32" t="s">
        <v>16</v>
      </c>
      <c r="B17" s="32"/>
    </row>
    <row r="18" spans="1:5">
      <c r="A18" s="3" t="s">
        <v>17</v>
      </c>
      <c r="B18" s="3" t="s">
        <v>104</v>
      </c>
    </row>
    <row r="19" spans="1:5">
      <c r="A19" s="1" t="s">
        <v>94</v>
      </c>
      <c r="B19" s="1">
        <f>COUNTIFS('Ticket-holder details'!J3:J72, "Area A", 'Ticket-holder details'!L3:L72, "Successful")</f>
        <v>21</v>
      </c>
    </row>
    <row r="20" spans="1:5">
      <c r="A20" s="1" t="s">
        <v>93</v>
      </c>
      <c r="B20" s="1">
        <f>COUNTIFS('Ticket-holder details'!J3:J73, "Area B", 'Ticket-holder details'!L3:L73, "Successful")</f>
        <v>22</v>
      </c>
    </row>
    <row r="21" spans="1:5">
      <c r="A21" s="1" t="s">
        <v>92</v>
      </c>
      <c r="B21" s="1">
        <f>COUNTIFS('Ticket-holder details'!J3:J74, "Area C", 'Ticket-holder details'!L3:L74, "Successful")</f>
        <v>12</v>
      </c>
    </row>
    <row r="23" spans="1:5">
      <c r="A23" s="49" t="s">
        <v>105</v>
      </c>
      <c r="B23" s="50"/>
    </row>
    <row r="24" spans="1:5">
      <c r="A24" s="36" t="s">
        <v>106</v>
      </c>
      <c r="B24" s="36" t="s">
        <v>109</v>
      </c>
    </row>
    <row r="25" spans="1:5">
      <c r="A25" s="1" t="s">
        <v>107</v>
      </c>
      <c r="B25" s="1">
        <f>COUNTIF('Ticket-holder details'!L3:L72, "Successful")</f>
        <v>55</v>
      </c>
    </row>
    <row r="26" spans="1:5">
      <c r="A26" s="1" t="s">
        <v>108</v>
      </c>
      <c r="B26" s="1">
        <f>COUNTIF('Ticket-holder details'!L3:L72,"Pending") + COUNTIF('Ticket-holder details'!L3:L72, "Unsuccessful")</f>
        <v>15</v>
      </c>
    </row>
    <row r="28" spans="1:5">
      <c r="A28" s="49" t="s">
        <v>96</v>
      </c>
      <c r="B28" s="51"/>
      <c r="C28" s="51"/>
      <c r="D28" s="51"/>
      <c r="E28" s="50"/>
    </row>
    <row r="29" spans="1:5">
      <c r="A29" s="36" t="s">
        <v>4</v>
      </c>
      <c r="B29" s="36" t="s">
        <v>18</v>
      </c>
      <c r="C29" s="36" t="s">
        <v>19</v>
      </c>
      <c r="D29" s="36" t="s">
        <v>97</v>
      </c>
      <c r="E29" s="36" t="s">
        <v>15</v>
      </c>
    </row>
    <row r="30" spans="1:5">
      <c r="A30" s="1" t="s">
        <v>13</v>
      </c>
      <c r="B30" s="34">
        <f>COUNTIFS('Ticket-holder details'!I3:I72, "Adult", 'Ticket-holder details'!O3:O72, "Area A")</f>
        <v>7</v>
      </c>
      <c r="C30" s="1">
        <f>COUNTIFS('Ticket-holder details'!I3:I72, "Adult", 'Ticket-holder details'!O3:O72, "Area B")</f>
        <v>9</v>
      </c>
      <c r="D30" s="1">
        <f>COUNTIFS('Ticket-holder details'!I3:I72, "Adult", 'Ticket-holder details'!O3:O72, "Area C")</f>
        <v>5</v>
      </c>
      <c r="E30" s="1">
        <f>SUM(B30:D30)</f>
        <v>21</v>
      </c>
    </row>
    <row r="31" spans="1:5">
      <c r="A31" s="1" t="s">
        <v>14</v>
      </c>
      <c r="B31" s="1">
        <f>COUNTIFS('Ticket-holder details'!I3:I72, "Child", 'Ticket-holder details'!O3:O72, "Area A")</f>
        <v>3</v>
      </c>
      <c r="C31" s="1">
        <f>COUNTIFS('Ticket-holder details'!I3:I72, "Child", 'Ticket-holder details'!O3:O72, "Area B")</f>
        <v>4</v>
      </c>
      <c r="D31" s="1">
        <f>COUNTIFS('Ticket-holder details'!I3:I72, "Child", 'Ticket-holder details'!O3:O72, "Area C")</f>
        <v>2</v>
      </c>
      <c r="E31" s="1">
        <f>SUM(B31:D31)</f>
        <v>9</v>
      </c>
    </row>
    <row r="32" spans="1:5">
      <c r="A32" s="1" t="s">
        <v>91</v>
      </c>
      <c r="B32" s="1">
        <f>COUNTIFS('Ticket-holder details'!I3:I72, "Concession - OAP", 'Ticket-holder details'!O3:O72, "Area A")</f>
        <v>6</v>
      </c>
      <c r="C32" s="1">
        <f>COUNTIFS('Ticket-holder details'!I3:I72, "Concession - OAP", 'Ticket-holder details'!O3:O72, "Area B")</f>
        <v>4</v>
      </c>
      <c r="D32" s="1">
        <f>COUNTIFS('Ticket-holder details'!I3:I72, "Concession - OAP", 'Ticket-holder details'!O3:O72, "Area C")</f>
        <v>3</v>
      </c>
      <c r="E32" s="1">
        <f>SUM(B32:D32)</f>
        <v>13</v>
      </c>
    </row>
    <row r="33" spans="1:6">
      <c r="A33" s="1" t="s">
        <v>71</v>
      </c>
      <c r="B33" s="1">
        <f>COUNTIFS('Ticket-holder details'!I3:I72, "Student", 'Ticket-holder details'!O3:O72, "Area A")</f>
        <v>5</v>
      </c>
      <c r="C33" s="1">
        <f>COUNTIFS('Ticket-holder details'!I3:I72, "Student", 'Ticket-holder details'!O3:O72, "Area B")</f>
        <v>5</v>
      </c>
      <c r="D33" s="1">
        <f>COUNTIFS('Ticket-holder details'!I3:I72, "Student", 'Ticket-holder details'!O3:O72, "Area C")</f>
        <v>2</v>
      </c>
      <c r="E33" s="1">
        <f>SUM(B33:D33)</f>
        <v>12</v>
      </c>
    </row>
    <row r="34" spans="1:6">
      <c r="A34" s="1" t="s">
        <v>15</v>
      </c>
      <c r="B34" s="1">
        <f>SUM(B30:B33)</f>
        <v>21</v>
      </c>
      <c r="C34" s="1">
        <f>SUM(C30:C33)</f>
        <v>22</v>
      </c>
      <c r="D34" s="1">
        <f>SUM(D30:D33)</f>
        <v>12</v>
      </c>
      <c r="E34" s="1">
        <f>SUM(E30:E33)</f>
        <v>55</v>
      </c>
    </row>
    <row r="37" spans="1:6">
      <c r="A37" s="49" t="s">
        <v>98</v>
      </c>
      <c r="B37" s="51"/>
      <c r="C37" s="51"/>
      <c r="D37" s="51"/>
      <c r="E37" s="51"/>
      <c r="F37" s="50"/>
    </row>
    <row r="38" spans="1:6">
      <c r="A38" s="36" t="s">
        <v>4</v>
      </c>
      <c r="B38" s="36" t="s">
        <v>99</v>
      </c>
      <c r="C38" s="36" t="s">
        <v>100</v>
      </c>
      <c r="D38" s="36" t="s">
        <v>101</v>
      </c>
      <c r="E38" s="36" t="s">
        <v>102</v>
      </c>
      <c r="F38" s="36" t="s">
        <v>103</v>
      </c>
    </row>
    <row r="39" spans="1:6">
      <c r="A39" s="1" t="s">
        <v>13</v>
      </c>
      <c r="B39" s="38">
        <f>INDEX('Switch Board'!$G$21:$H$24, 1, 1)</f>
        <v>759</v>
      </c>
      <c r="C39" s="1">
        <f>INDEX('Switch Board'!$G$21:$H$24, 1, 2)</f>
        <v>999</v>
      </c>
      <c r="D39" s="35">
        <f>COUNTIFS('Ticket-holder details'!I3:I72, "Adult", 'Ticket-holder details'!J3:J72, "&lt;&gt;Area C", 'Ticket-holder details'!L3:L72, "Successful")</f>
        <v>16</v>
      </c>
      <c r="E39" s="35">
        <f>COUNTIFS('Ticket-holder details'!I3:I72, "Adult", 'Ticket-holder details'!J3:J72, "Area C", 'Ticket-holder details'!L3:L72, "Successful")</f>
        <v>5</v>
      </c>
      <c r="F39" s="39">
        <f>D39*B39+E39*C39</f>
        <v>17139</v>
      </c>
    </row>
    <row r="40" spans="1:6">
      <c r="A40" s="1" t="s">
        <v>14</v>
      </c>
      <c r="B40" s="1">
        <f>INDEX('Switch Board'!$G$21:$H$24, 2, 1)</f>
        <v>498</v>
      </c>
      <c r="C40" s="1">
        <f>INDEX('Switch Board'!$G$21:$H$24, 2, 2)</f>
        <v>665</v>
      </c>
      <c r="D40" s="35">
        <f>COUNTIFS('Ticket-holder details'!I3:I72, "Child", 'Ticket-holder details'!J3:J72, "&lt;&gt;Area C", 'Ticket-holder details'!L3:L72, "Successful")</f>
        <v>7</v>
      </c>
      <c r="E40" s="35">
        <f>COUNTIFS('Ticket-holder details'!I3:I72, "Child", 'Ticket-holder details'!J3:J72, "Area C", 'Ticket-holder details'!L3:L72, "Successful")</f>
        <v>2</v>
      </c>
      <c r="F40" s="39">
        <f>D40*B40+E40*C40</f>
        <v>4816</v>
      </c>
    </row>
    <row r="41" spans="1:6">
      <c r="A41" s="1" t="s">
        <v>90</v>
      </c>
      <c r="B41" s="1">
        <f>INDEX('Switch Board'!$G$21:$H$24, 3, 1)</f>
        <v>515</v>
      </c>
      <c r="C41" s="1">
        <f>INDEX('Switch Board'!$G$21:$H$24, 3, 2)</f>
        <v>705</v>
      </c>
      <c r="D41" s="35">
        <f>COUNTIFS('Ticket-holder details'!I3:I72, "Concession - OAP", 'Ticket-holder details'!J3:J72, "&lt;&gt;Area C", 'Ticket-holder details'!L3:L72, "Successful")</f>
        <v>10</v>
      </c>
      <c r="E41" s="35">
        <f>COUNTIFS('Ticket-holder details'!I3:I72, "Concession - OAP", 'Ticket-holder details'!J3:J72, "Area C", 'Ticket-holder details'!L3:L72, "Successful")</f>
        <v>3</v>
      </c>
      <c r="F41" s="39">
        <f>D41*B41+E41*C41</f>
        <v>7265</v>
      </c>
    </row>
    <row r="42" spans="1:6">
      <c r="A42" s="1" t="s">
        <v>71</v>
      </c>
      <c r="B42" s="1">
        <f>INDEX('Switch Board'!$G$21:$H$24, 4, 1)</f>
        <v>405</v>
      </c>
      <c r="C42" s="1">
        <f>INDEX('Switch Board'!$G$21:$H$24, 4, 2)</f>
        <v>695</v>
      </c>
      <c r="D42" s="35">
        <f>COUNTIFS('Ticket-holder details'!I3:I72, "Student", 'Ticket-holder details'!J3:J72, "&lt;&gt;Area C", 'Ticket-holder details'!L3:L72, "Successful")</f>
        <v>10</v>
      </c>
      <c r="E42" s="35">
        <f>COUNTIFS('Ticket-holder details'!I3:I72, "Student", 'Ticket-holder details'!J3:J72, "Area C", 'Ticket-holder details'!L3:L72, "Successful")</f>
        <v>2</v>
      </c>
      <c r="F42" s="39">
        <f>D42*B42+E42+C42</f>
        <v>4747</v>
      </c>
    </row>
    <row r="43" spans="1:6">
      <c r="A43" s="1" t="s">
        <v>15</v>
      </c>
      <c r="B43" s="1" t="s">
        <v>126</v>
      </c>
      <c r="C43" s="1" t="s">
        <v>126</v>
      </c>
      <c r="D43" s="1">
        <f>SUM(D39:D42)</f>
        <v>43</v>
      </c>
      <c r="E43" s="1">
        <f>SUM(E39:E42)</f>
        <v>12</v>
      </c>
      <c r="F43" s="39">
        <f>SUM(F39:F42)</f>
        <v>33967</v>
      </c>
    </row>
  </sheetData>
  <sheetProtection sheet="1" objects="1" scenarios="1"/>
  <mergeCells count="5">
    <mergeCell ref="A2:B2"/>
    <mergeCell ref="A1:P1"/>
    <mergeCell ref="A23:B23"/>
    <mergeCell ref="A28:E28"/>
    <mergeCell ref="A37:F3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6"/>
  <sheetViews>
    <sheetView tabSelected="1" workbookViewId="0">
      <selection sqref="A1:S1"/>
    </sheetView>
  </sheetViews>
  <sheetFormatPr baseColWidth="10" defaultColWidth="8.6640625" defaultRowHeight="15"/>
  <cols>
    <col min="1" max="1" width="18.6640625" customWidth="1"/>
    <col min="2" max="2" width="13.5" customWidth="1"/>
    <col min="3" max="3" width="20.6640625" customWidth="1"/>
    <col min="4" max="4" width="17.6640625" customWidth="1"/>
  </cols>
  <sheetData>
    <row r="1" spans="1:19" ht="22">
      <c r="A1" s="52" t="s">
        <v>20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</row>
    <row r="5" spans="1:19">
      <c r="A5" s="49" t="s">
        <v>110</v>
      </c>
      <c r="B5" s="51"/>
      <c r="C5" s="50"/>
    </row>
    <row r="6" spans="1:19">
      <c r="A6" s="36" t="s">
        <v>4</v>
      </c>
      <c r="B6" s="36" t="s">
        <v>99</v>
      </c>
      <c r="C6" s="36" t="s">
        <v>100</v>
      </c>
    </row>
    <row r="7" spans="1:19">
      <c r="A7" s="1" t="s">
        <v>13</v>
      </c>
      <c r="B7" s="30">
        <v>759</v>
      </c>
      <c r="C7" s="30">
        <v>999</v>
      </c>
    </row>
    <row r="8" spans="1:19">
      <c r="A8" s="1" t="s">
        <v>14</v>
      </c>
      <c r="B8" s="30">
        <v>498</v>
      </c>
      <c r="C8" s="30">
        <v>665</v>
      </c>
    </row>
    <row r="9" spans="1:19">
      <c r="A9" s="1" t="s">
        <v>90</v>
      </c>
      <c r="B9" s="30">
        <v>515</v>
      </c>
      <c r="C9" s="30">
        <v>705</v>
      </c>
    </row>
    <row r="10" spans="1:19">
      <c r="A10" s="1" t="s">
        <v>71</v>
      </c>
      <c r="B10" s="30">
        <v>405</v>
      </c>
      <c r="C10" s="30">
        <v>695</v>
      </c>
    </row>
    <row r="11" spans="1:19">
      <c r="E11" s="27"/>
    </row>
    <row r="13" spans="1:19">
      <c r="A13" s="53" t="s">
        <v>111</v>
      </c>
      <c r="B13" s="54"/>
      <c r="C13" s="55"/>
    </row>
    <row r="14" spans="1:19">
      <c r="A14" s="4" t="s">
        <v>4</v>
      </c>
      <c r="B14" s="4" t="s">
        <v>116</v>
      </c>
      <c r="C14" s="4" t="s">
        <v>121</v>
      </c>
    </row>
    <row r="15" spans="1:19">
      <c r="A15" s="1" t="s">
        <v>13</v>
      </c>
      <c r="B15" s="1" t="s">
        <v>117</v>
      </c>
      <c r="C15" s="1" t="s">
        <v>122</v>
      </c>
    </row>
    <row r="16" spans="1:19">
      <c r="A16" s="1" t="s">
        <v>14</v>
      </c>
      <c r="B16" s="1" t="s">
        <v>118</v>
      </c>
      <c r="C16" s="1" t="s">
        <v>123</v>
      </c>
    </row>
    <row r="17" spans="1:4">
      <c r="A17" s="1" t="s">
        <v>90</v>
      </c>
      <c r="B17" s="1" t="s">
        <v>119</v>
      </c>
      <c r="C17" s="1" t="s">
        <v>124</v>
      </c>
    </row>
    <row r="18" spans="1:4">
      <c r="A18" s="1" t="s">
        <v>71</v>
      </c>
      <c r="B18" s="1" t="s">
        <v>120</v>
      </c>
      <c r="C18" s="1" t="s">
        <v>125</v>
      </c>
    </row>
    <row r="19" spans="1:4">
      <c r="D19" s="29"/>
    </row>
    <row r="22" spans="1:4">
      <c r="A22" s="49" t="s">
        <v>112</v>
      </c>
      <c r="B22" s="51"/>
      <c r="C22" s="51"/>
      <c r="D22" s="50"/>
    </row>
    <row r="23" spans="1:4">
      <c r="A23" s="36" t="s">
        <v>17</v>
      </c>
      <c r="B23" s="36" t="s">
        <v>113</v>
      </c>
      <c r="C23" s="36" t="s">
        <v>114</v>
      </c>
      <c r="D23" s="36" t="s">
        <v>115</v>
      </c>
    </row>
    <row r="24" spans="1:4">
      <c r="A24" s="1" t="s">
        <v>18</v>
      </c>
      <c r="B24" s="1">
        <f>'Summary of information'!B19</f>
        <v>21</v>
      </c>
      <c r="C24" s="35">
        <f>COUNTIFS('Ticket-holder details'!J3:J72, "Area A", 'Ticket-holder details'!L3:L72, "Successful")</f>
        <v>21</v>
      </c>
      <c r="D24" s="1">
        <f>B24-C24</f>
        <v>0</v>
      </c>
    </row>
    <row r="25" spans="1:4">
      <c r="A25" s="1" t="s">
        <v>19</v>
      </c>
      <c r="B25" s="1">
        <f>'Summary of information'!B20</f>
        <v>22</v>
      </c>
      <c r="C25" s="35">
        <f>COUNTIFS('Ticket-holder details'!J3:J73, "Area B", 'Ticket-holder details'!L3:L73, "Successful")</f>
        <v>22</v>
      </c>
      <c r="D25" s="1">
        <f>B25-C25</f>
        <v>0</v>
      </c>
    </row>
    <row r="26" spans="1:4">
      <c r="A26" s="1" t="s">
        <v>92</v>
      </c>
      <c r="B26" s="1">
        <f>'Summary of information'!B21</f>
        <v>12</v>
      </c>
      <c r="C26" s="35">
        <f>COUNTIFS('Ticket-holder details'!J3:J74, "Area C", 'Ticket-holder details'!L3:L74, "Successful")</f>
        <v>12</v>
      </c>
      <c r="D26" s="1">
        <f>B26-C26</f>
        <v>0</v>
      </c>
    </row>
  </sheetData>
  <sheetProtection sheet="1" objects="1" scenarios="1"/>
  <mergeCells count="4">
    <mergeCell ref="A1:S1"/>
    <mergeCell ref="A5:C5"/>
    <mergeCell ref="A22:D22"/>
    <mergeCell ref="A13:C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Switch Board</vt:lpstr>
      <vt:lpstr>Ticket-holder details</vt:lpstr>
      <vt:lpstr>Summary of information</vt:lpstr>
      <vt:lpstr>Season-ticket type details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ADJEI</dc:creator>
  <cp:keywords/>
  <dc:description/>
  <cp:lastModifiedBy>Henry ADJEI</cp:lastModifiedBy>
  <cp:revision/>
  <dcterms:created xsi:type="dcterms:W3CDTF">2025-01-16T18:39:49Z</dcterms:created>
  <dcterms:modified xsi:type="dcterms:W3CDTF">2025-02-22T01:27:45Z</dcterms:modified>
  <cp:category/>
  <cp:contentStatus/>
</cp:coreProperties>
</file>