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1355" windowHeight="9120" tabRatio="760" firstSheet="2" activeTab="10"/>
  </bookViews>
  <sheets>
    <sheet name="2IPE COLUMN(BENDEING)" sheetId="7" r:id="rId1"/>
    <sheet name="2IPE COLUMN" sheetId="23" r:id="rId2"/>
    <sheet name=" BRACE" sheetId="3" r:id="rId3"/>
    <sheet name="BEAM CIPE" sheetId="16" r:id="rId4"/>
    <sheet name="BEAM IPE" sheetId="15" r:id="rId5"/>
    <sheet name="BASE PLATE" sheetId="17" r:id="rId6"/>
    <sheet name="BOLT DESIGN" sheetId="19" r:id="rId7"/>
    <sheet name="LD BOLT" sheetId="20" r:id="rId8"/>
    <sheet name="JOIST" sheetId="21" r:id="rId9"/>
    <sheet name="EARTHQUQKE" sheetId="24" r:id="rId10"/>
    <sheet name="Corner BP" sheetId="25" r:id="rId11"/>
  </sheets>
  <definedNames>
    <definedName name="_xlnm.Print_Area" localSheetId="2">' BRACE'!$A$21:$L$55</definedName>
    <definedName name="_xlnm.Print_Area" localSheetId="1">'2IPE COLUMN'!$A$19:$N$61</definedName>
    <definedName name="_xlnm.Print_Area" localSheetId="0">'2IPE COLUMN(BENDEING)'!$A$19:$N$64</definedName>
    <definedName name="_xlnm.Print_Area" localSheetId="5">'BASE PLATE'!$B$9:$L$46,'BASE PLATE'!$D$62:$K$93</definedName>
    <definedName name="_xlnm.Print_Area" localSheetId="3">'BEAM CIPE'!$A$12:$L$57</definedName>
    <definedName name="_xlnm.Print_Area" localSheetId="4">'BEAM IPE'!$A$19:$L$60</definedName>
    <definedName name="_xlnm.Print_Area" localSheetId="6">'BOLT DESIGN'!$A$1:$Q$25</definedName>
    <definedName name="_xlnm.Print_Area" localSheetId="10">'Corner BP'!$A$3:$R$97</definedName>
    <definedName name="_xlnm.Print_Area" localSheetId="9">EARTHQUQKE!$A$3:$K$44</definedName>
    <definedName name="_xlnm.Print_Area" localSheetId="8">JOIST!$A$15:$I$57</definedName>
    <definedName name="_xlnm.Print_Area" localSheetId="7">'LD BOLT'!$A$1:$K$30</definedName>
  </definedNames>
  <calcPr calcId="125725"/>
</workbook>
</file>

<file path=xl/calcChain.xml><?xml version="1.0" encoding="utf-8"?>
<calcChain xmlns="http://schemas.openxmlformats.org/spreadsheetml/2006/main">
  <c r="H95" i="25"/>
  <c r="F95"/>
  <c r="G93"/>
  <c r="H93" s="1"/>
  <c r="K89"/>
  <c r="F88"/>
  <c r="F83"/>
  <c r="F74"/>
  <c r="O68" s="1"/>
  <c r="M73"/>
  <c r="N68"/>
  <c r="J74" s="1"/>
  <c r="G70"/>
  <c r="O67"/>
  <c r="H68"/>
  <c r="F66"/>
  <c r="F65"/>
  <c r="G60"/>
  <c r="H46"/>
  <c r="F46"/>
  <c r="G44"/>
  <c r="H44" s="1"/>
  <c r="K40"/>
  <c r="F39"/>
  <c r="F33"/>
  <c r="F25"/>
  <c r="R22" s="1"/>
  <c r="F20"/>
  <c r="F21" s="1"/>
  <c r="H21" s="1"/>
  <c r="F15"/>
  <c r="F74" i="17"/>
  <c r="G68"/>
  <c r="F73"/>
  <c r="H76"/>
  <c r="I77" s="1"/>
  <c r="G78"/>
  <c r="M81"/>
  <c r="F82"/>
  <c r="N77" s="1"/>
  <c r="F91"/>
  <c r="G44"/>
  <c r="H44" s="1"/>
  <c r="H46"/>
  <c r="F46"/>
  <c r="K40"/>
  <c r="F39"/>
  <c r="L9" i="19"/>
  <c r="F15" i="17"/>
  <c r="U30" i="3"/>
  <c r="R19"/>
  <c r="Q19"/>
  <c r="F20" i="17"/>
  <c r="I19" i="19"/>
  <c r="H19"/>
  <c r="D19"/>
  <c r="E19"/>
  <c r="I17"/>
  <c r="H17"/>
  <c r="D17"/>
  <c r="E17"/>
  <c r="N17"/>
  <c r="D9"/>
  <c r="E9"/>
  <c r="D11"/>
  <c r="E11"/>
  <c r="D13"/>
  <c r="E13"/>
  <c r="D15"/>
  <c r="E15"/>
  <c r="D37" i="24"/>
  <c r="B36"/>
  <c r="B35"/>
  <c r="B34"/>
  <c r="B33"/>
  <c r="D29"/>
  <c r="C29"/>
  <c r="B28"/>
  <c r="B27"/>
  <c r="B26"/>
  <c r="D22"/>
  <c r="C22"/>
  <c r="B21"/>
  <c r="B20"/>
  <c r="B19"/>
  <c r="C16"/>
  <c r="C14"/>
  <c r="D14"/>
  <c r="A13"/>
  <c r="A12"/>
  <c r="A11"/>
  <c r="A10"/>
  <c r="C15"/>
  <c r="C7"/>
  <c r="D47" i="21"/>
  <c r="F40"/>
  <c r="E40"/>
  <c r="D40"/>
  <c r="C40"/>
  <c r="G28"/>
  <c r="G27"/>
  <c r="D27"/>
  <c r="E26"/>
  <c r="E25"/>
  <c r="C34"/>
  <c r="C36"/>
  <c r="C38"/>
  <c r="C53"/>
  <c r="B25"/>
  <c r="B22"/>
  <c r="B21"/>
  <c r="H18"/>
  <c r="E18"/>
  <c r="E13"/>
  <c r="E12"/>
  <c r="E11"/>
  <c r="E10"/>
  <c r="E14"/>
  <c r="J7"/>
  <c r="B31"/>
  <c r="J6"/>
  <c r="G29"/>
  <c r="E31"/>
  <c r="B32"/>
  <c r="H11" i="19"/>
  <c r="I11"/>
  <c r="H13"/>
  <c r="I13"/>
  <c r="H15"/>
  <c r="I15"/>
  <c r="A30" i="3"/>
  <c r="H54"/>
  <c r="G54"/>
  <c r="E54"/>
  <c r="R36"/>
  <c r="R37"/>
  <c r="B39"/>
  <c r="Q33" i="23"/>
  <c r="J32"/>
  <c r="L35"/>
  <c r="J31"/>
  <c r="I35"/>
  <c r="E24"/>
  <c r="Q29"/>
  <c r="Q28"/>
  <c r="J27"/>
  <c r="B35"/>
  <c r="J30"/>
  <c r="F35"/>
  <c r="L37"/>
  <c r="Q20"/>
  <c r="Q21"/>
  <c r="B27"/>
  <c r="B37"/>
  <c r="S17"/>
  <c r="S18"/>
  <c r="M28"/>
  <c r="M31"/>
  <c r="I36"/>
  <c r="I37"/>
  <c r="M30"/>
  <c r="F36"/>
  <c r="F37"/>
  <c r="I38"/>
  <c r="Q24"/>
  <c r="Q25"/>
  <c r="F27"/>
  <c r="B38"/>
  <c r="Q31"/>
  <c r="B36"/>
  <c r="F38"/>
  <c r="Q29" i="7"/>
  <c r="Q28"/>
  <c r="J28"/>
  <c r="J31"/>
  <c r="F36"/>
  <c r="S17"/>
  <c r="S18"/>
  <c r="M29"/>
  <c r="M31"/>
  <c r="F37"/>
  <c r="F38"/>
  <c r="M32"/>
  <c r="I37"/>
  <c r="I38"/>
  <c r="Q20"/>
  <c r="Q21"/>
  <c r="B28"/>
  <c r="B38"/>
  <c r="C41"/>
  <c r="L38"/>
  <c r="Q31"/>
  <c r="Q33"/>
  <c r="P39"/>
  <c r="S32"/>
  <c r="F39"/>
  <c r="Q24"/>
  <c r="Q25"/>
  <c r="F28"/>
  <c r="Q30"/>
  <c r="J29"/>
  <c r="M28"/>
  <c r="M33"/>
  <c r="L37"/>
  <c r="L39"/>
  <c r="I39"/>
  <c r="E25"/>
  <c r="B36"/>
  <c r="C43"/>
  <c r="L59" i="23"/>
  <c r="K59"/>
  <c r="J59"/>
  <c r="I59"/>
  <c r="H59"/>
  <c r="G59"/>
  <c r="F59"/>
  <c r="Q18"/>
  <c r="Q17"/>
  <c r="D59"/>
  <c r="B59"/>
  <c r="D49"/>
  <c r="G24"/>
  <c r="G26"/>
  <c r="C34"/>
  <c r="F26"/>
  <c r="B34"/>
  <c r="A34"/>
  <c r="Q30"/>
  <c r="J28"/>
  <c r="M27"/>
  <c r="M32"/>
  <c r="L36"/>
  <c r="L38"/>
  <c r="Q26"/>
  <c r="Q27"/>
  <c r="F28"/>
  <c r="Q22"/>
  <c r="Q23"/>
  <c r="B28"/>
  <c r="B22"/>
  <c r="I36" i="7"/>
  <c r="L36"/>
  <c r="D48"/>
  <c r="F76"/>
  <c r="E76"/>
  <c r="D76"/>
  <c r="E75"/>
  <c r="F45" i="20"/>
  <c r="E47"/>
  <c r="G47"/>
  <c r="B45"/>
  <c r="E6"/>
  <c r="E7"/>
  <c r="I17"/>
  <c r="D18"/>
  <c r="D17"/>
  <c r="E9"/>
  <c r="D10"/>
  <c r="J5" i="19"/>
  <c r="R30" i="3"/>
  <c r="R31"/>
  <c r="H35"/>
  <c r="R23"/>
  <c r="R22"/>
  <c r="R39"/>
  <c r="B41"/>
  <c r="F27"/>
  <c r="C28"/>
  <c r="R26"/>
  <c r="R27"/>
  <c r="E35"/>
  <c r="R32"/>
  <c r="R33"/>
  <c r="H36"/>
  <c r="K36"/>
  <c r="B38"/>
  <c r="R40"/>
  <c r="F41"/>
  <c r="R34"/>
  <c r="R35"/>
  <c r="K35"/>
  <c r="H27"/>
  <c r="H9" i="19"/>
  <c r="J42" i="15"/>
  <c r="I9" i="19"/>
  <c r="F33" i="17"/>
  <c r="F25"/>
  <c r="R22" s="1"/>
  <c r="F21"/>
  <c r="H21" s="1"/>
  <c r="G25" i="16"/>
  <c r="G23"/>
  <c r="R41" i="15"/>
  <c r="R40"/>
  <c r="R42"/>
  <c r="G30"/>
  <c r="R38"/>
  <c r="R37"/>
  <c r="R39"/>
  <c r="G29"/>
  <c r="C51"/>
  <c r="F51"/>
  <c r="G53" i="16"/>
  <c r="G51"/>
  <c r="C41"/>
  <c r="K40"/>
  <c r="K39"/>
  <c r="I40"/>
  <c r="H39"/>
  <c r="H38"/>
  <c r="E55"/>
  <c r="H55"/>
  <c r="J55"/>
  <c r="G55"/>
  <c r="C45"/>
  <c r="C46"/>
  <c r="E17"/>
  <c r="E59" i="15"/>
  <c r="F28" i="16"/>
  <c r="F27"/>
  <c r="C25"/>
  <c r="G24"/>
  <c r="N13"/>
  <c r="C24"/>
  <c r="C47"/>
  <c r="C23"/>
  <c r="B31"/>
  <c r="C55"/>
  <c r="F20"/>
  <c r="B55"/>
  <c r="J59" i="15"/>
  <c r="H59"/>
  <c r="G59"/>
  <c r="B59"/>
  <c r="G57"/>
  <c r="G55"/>
  <c r="C49"/>
  <c r="C50"/>
  <c r="P44"/>
  <c r="L44"/>
  <c r="J44"/>
  <c r="P43"/>
  <c r="L43"/>
  <c r="I43"/>
  <c r="R35"/>
  <c r="R34"/>
  <c r="R32"/>
  <c r="R31"/>
  <c r="R29"/>
  <c r="R28"/>
  <c r="R30"/>
  <c r="D59"/>
  <c r="G26"/>
  <c r="F26"/>
  <c r="E26"/>
  <c r="E23"/>
  <c r="Q20"/>
  <c r="R20"/>
  <c r="Q22"/>
  <c r="B49" i="3"/>
  <c r="B23"/>
  <c r="B24"/>
  <c r="B22"/>
  <c r="F34"/>
  <c r="R21"/>
  <c r="R20"/>
  <c r="F54"/>
  <c r="G32"/>
  <c r="G34"/>
  <c r="F28"/>
  <c r="D30"/>
  <c r="E32"/>
  <c r="B37"/>
  <c r="D54"/>
  <c r="B61" i="7"/>
  <c r="J61"/>
  <c r="K61"/>
  <c r="L61"/>
  <c r="I61"/>
  <c r="H61"/>
  <c r="G61"/>
  <c r="R24" i="3"/>
  <c r="R25"/>
  <c r="R28"/>
  <c r="E36"/>
  <c r="R29"/>
  <c r="B36"/>
  <c r="D45"/>
  <c r="J43"/>
  <c r="Q17" i="7"/>
  <c r="Q18"/>
  <c r="D61"/>
  <c r="Q22"/>
  <c r="Q23"/>
  <c r="B29"/>
  <c r="Q26"/>
  <c r="Q27"/>
  <c r="B22"/>
  <c r="G25"/>
  <c r="F27"/>
  <c r="G27"/>
  <c r="F29"/>
  <c r="A35"/>
  <c r="B35"/>
  <c r="C35"/>
  <c r="N11" i="16"/>
  <c r="B32"/>
  <c r="N12"/>
  <c r="B33"/>
  <c r="R33" i="15"/>
  <c r="C29"/>
  <c r="B35"/>
  <c r="R36"/>
  <c r="C30"/>
  <c r="E47" i="16"/>
  <c r="C45" i="21"/>
  <c r="B47"/>
  <c r="F47"/>
  <c r="C42"/>
  <c r="J8"/>
  <c r="C50"/>
  <c r="C51"/>
  <c r="E53"/>
  <c r="C23" i="24"/>
  <c r="E41"/>
  <c r="C30"/>
  <c r="E42"/>
  <c r="J17" i="19"/>
  <c r="L17"/>
  <c r="M17"/>
  <c r="M9"/>
  <c r="R44" i="15"/>
  <c r="B37"/>
  <c r="R43"/>
  <c r="B36"/>
  <c r="P45"/>
  <c r="D51" i="7"/>
  <c r="P36"/>
  <c r="B37"/>
  <c r="B39"/>
  <c r="C42"/>
  <c r="P37"/>
  <c r="F61"/>
  <c r="Q36"/>
  <c r="H41"/>
  <c r="G52"/>
  <c r="B44"/>
  <c r="B46"/>
  <c r="N15" i="19"/>
  <c r="J15"/>
  <c r="N11"/>
  <c r="J11"/>
  <c r="J19"/>
  <c r="N19"/>
  <c r="D37" i="3"/>
  <c r="F37"/>
  <c r="B42"/>
  <c r="B43"/>
  <c r="C40" i="23"/>
  <c r="D49" i="3"/>
  <c r="B34" i="16"/>
  <c r="N16"/>
  <c r="J10" i="21"/>
  <c r="G53"/>
  <c r="N13" i="19"/>
  <c r="J13"/>
  <c r="J9"/>
  <c r="N9"/>
  <c r="B38" i="15"/>
  <c r="F42" i="3"/>
  <c r="B44"/>
  <c r="C41" i="23"/>
  <c r="C42"/>
  <c r="B35" i="3"/>
  <c r="P36" i="23"/>
  <c r="D53"/>
  <c r="P37"/>
  <c r="D55" i="15"/>
  <c r="E55"/>
  <c r="H55"/>
  <c r="D57"/>
  <c r="E57"/>
  <c r="H57"/>
  <c r="C39"/>
  <c r="K9" i="19"/>
  <c r="C35" i="16"/>
  <c r="D51"/>
  <c r="E51"/>
  <c r="H51"/>
  <c r="D53"/>
  <c r="E53"/>
  <c r="H53"/>
  <c r="B44" i="23"/>
  <c r="B47"/>
  <c r="Q36"/>
  <c r="L19" i="19"/>
  <c r="M19"/>
  <c r="K19"/>
  <c r="Q37" i="23"/>
  <c r="B45"/>
  <c r="B48"/>
  <c r="K13" i="19"/>
  <c r="L13"/>
  <c r="M13"/>
  <c r="O13"/>
  <c r="E56" i="21"/>
  <c r="D55"/>
  <c r="L10"/>
  <c r="F56"/>
  <c r="C56"/>
  <c r="C55"/>
  <c r="K11" i="19"/>
  <c r="L11"/>
  <c r="M11"/>
  <c r="O11"/>
  <c r="K15"/>
  <c r="L15"/>
  <c r="H42" i="7"/>
  <c r="G53"/>
  <c r="Q37"/>
  <c r="B45"/>
  <c r="B47"/>
  <c r="O9" i="19"/>
  <c r="F43" i="3"/>
  <c r="O19" i="19"/>
  <c r="F46" i="7"/>
  <c r="O15" i="19"/>
  <c r="M15"/>
  <c r="C44" i="15"/>
  <c r="C40"/>
  <c r="K43"/>
  <c r="K44"/>
  <c r="K45"/>
  <c r="F47" i="23"/>
  <c r="F48" i="7"/>
  <c r="C50"/>
  <c r="D48" i="3"/>
  <c r="G47"/>
  <c r="G43"/>
  <c r="K43"/>
  <c r="A47"/>
  <c r="K47"/>
  <c r="F47"/>
  <c r="B46"/>
  <c r="J39" i="16"/>
  <c r="J40"/>
  <c r="J41"/>
  <c r="C36"/>
  <c r="C40"/>
  <c r="I48" i="3"/>
  <c r="D52"/>
  <c r="F52"/>
  <c r="I36" i="16"/>
  <c r="J36"/>
  <c r="F36"/>
  <c r="E40"/>
  <c r="L50" i="7"/>
  <c r="H50"/>
  <c r="C50" i="23"/>
  <c r="F49"/>
  <c r="E40" i="15"/>
  <c r="C45"/>
  <c r="H40"/>
  <c r="I40"/>
  <c r="E44"/>
  <c r="C50" i="3"/>
  <c r="F49"/>
  <c r="H49"/>
  <c r="E51" i="23"/>
  <c r="E52"/>
  <c r="E60" i="7"/>
  <c r="I60"/>
  <c r="I51"/>
  <c r="B53"/>
  <c r="B52"/>
  <c r="I57"/>
  <c r="J57"/>
  <c r="B54"/>
  <c r="C52"/>
  <c r="C53"/>
  <c r="J51"/>
  <c r="I53" i="23"/>
  <c r="D56"/>
  <c r="H56"/>
  <c r="I58" i="7"/>
  <c r="B56"/>
  <c r="J58"/>
  <c r="D54" i="23"/>
  <c r="E54"/>
  <c r="G53"/>
  <c r="K53"/>
  <c r="B55" i="7"/>
  <c r="H58"/>
  <c r="H57"/>
  <c r="C55"/>
  <c r="D55"/>
  <c r="C56"/>
  <c r="D56"/>
  <c r="K17" i="19"/>
  <c r="O17"/>
  <c r="Q21" i="25" l="1"/>
  <c r="Q22"/>
  <c r="J24" s="1"/>
  <c r="G28" s="1"/>
  <c r="R21"/>
  <c r="I69"/>
  <c r="G77"/>
  <c r="N67"/>
  <c r="K90"/>
  <c r="F89"/>
  <c r="J23"/>
  <c r="G27" s="1"/>
  <c r="K41"/>
  <c r="F40"/>
  <c r="J73"/>
  <c r="G76" s="1"/>
  <c r="F79" s="1"/>
  <c r="G81" s="1"/>
  <c r="N78" i="17"/>
  <c r="O77"/>
  <c r="J81" s="1"/>
  <c r="G84" s="1"/>
  <c r="O78"/>
  <c r="R21"/>
  <c r="Q22"/>
  <c r="J24" s="1"/>
  <c r="G28" s="1"/>
  <c r="Q21"/>
  <c r="K41"/>
  <c r="F40"/>
  <c r="K39" s="1"/>
  <c r="I95" i="25" l="1"/>
  <c r="K88"/>
  <c r="K95" s="1"/>
  <c r="F30"/>
  <c r="G32" s="1"/>
  <c r="I46"/>
  <c r="K39"/>
  <c r="K46" s="1"/>
  <c r="J23" i="17"/>
  <c r="G27" s="1"/>
  <c r="F30" s="1"/>
  <c r="G32" s="1"/>
  <c r="J82"/>
  <c r="G85" s="1"/>
  <c r="F87" s="1"/>
  <c r="G89" s="1"/>
  <c r="I46"/>
  <c r="K46"/>
</calcChain>
</file>

<file path=xl/sharedStrings.xml><?xml version="1.0" encoding="utf-8"?>
<sst xmlns="http://schemas.openxmlformats.org/spreadsheetml/2006/main" count="1137" uniqueCount="387">
  <si>
    <t>A</t>
  </si>
  <si>
    <t>IPE 160</t>
  </si>
  <si>
    <t>IPE 180</t>
  </si>
  <si>
    <t>IPE 200</t>
  </si>
  <si>
    <t>IPE 100</t>
  </si>
  <si>
    <t>IPE 120</t>
  </si>
  <si>
    <t>IPE  80</t>
  </si>
  <si>
    <t>IPE 220</t>
  </si>
  <si>
    <t>IPE 240</t>
  </si>
  <si>
    <t>IPE 270</t>
  </si>
  <si>
    <t>IPE 300</t>
  </si>
  <si>
    <t>IPE 330</t>
  </si>
  <si>
    <t>IPE 360</t>
  </si>
  <si>
    <t>h</t>
  </si>
  <si>
    <t>b</t>
  </si>
  <si>
    <t>tg</t>
  </si>
  <si>
    <t>r</t>
  </si>
  <si>
    <t>h-2c</t>
  </si>
  <si>
    <t>G(kg/m)</t>
  </si>
  <si>
    <t>DESIGN</t>
  </si>
  <si>
    <t>OF</t>
  </si>
  <si>
    <t>BEAM</t>
  </si>
  <si>
    <t>PROFILE</t>
  </si>
  <si>
    <t>IPE 140</t>
  </si>
  <si>
    <t>cm</t>
  </si>
  <si>
    <t>L =</t>
  </si>
  <si>
    <t>kg/cm2</t>
  </si>
  <si>
    <t>ton</t>
  </si>
  <si>
    <t>Fy =</t>
  </si>
  <si>
    <t>M =</t>
  </si>
  <si>
    <t>ton - m</t>
  </si>
  <si>
    <t>V =</t>
  </si>
  <si>
    <t>Fb/Fy =</t>
  </si>
  <si>
    <t>E =</t>
  </si>
  <si>
    <t>Mmax=</t>
  </si>
  <si>
    <t>Ton.m</t>
  </si>
  <si>
    <t>DL=</t>
  </si>
  <si>
    <t>LL=</t>
  </si>
  <si>
    <t>Ton/m</t>
  </si>
  <si>
    <t>TEDAD PROFILE :</t>
  </si>
  <si>
    <t>DESIGN OF BEAM TYPE :</t>
  </si>
  <si>
    <t>Fb =</t>
  </si>
  <si>
    <t>PROFILE:</t>
  </si>
  <si>
    <t>Ixx =</t>
  </si>
  <si>
    <t>Sxx =</t>
  </si>
  <si>
    <t>cm4</t>
  </si>
  <si>
    <t>cm3</t>
  </si>
  <si>
    <t>tw =</t>
  </si>
  <si>
    <t>H =</t>
  </si>
  <si>
    <t>M / S =</t>
  </si>
  <si>
    <t>Ixx(pro.) =</t>
  </si>
  <si>
    <t>Ixx(plt1.) =</t>
  </si>
  <si>
    <t>Ixx(plt2.) =</t>
  </si>
  <si>
    <t>A1=</t>
  </si>
  <si>
    <t>d1=</t>
  </si>
  <si>
    <t>A2=</t>
  </si>
  <si>
    <t>d2=</t>
  </si>
  <si>
    <t>Ixx/C=</t>
  </si>
  <si>
    <t>C=</t>
  </si>
  <si>
    <t>fb =</t>
  </si>
  <si>
    <t>SHEAR STRESS CONTROL :</t>
  </si>
  <si>
    <t>Fv =</t>
  </si>
  <si>
    <t>fv=</t>
  </si>
  <si>
    <t>V/(ts*h)=</t>
  </si>
  <si>
    <t>DEFLECTION CONTROL :</t>
  </si>
  <si>
    <t>L/240 =</t>
  </si>
  <si>
    <t>5(DL+LL)*L^4/(384*E*Ix) =</t>
  </si>
  <si>
    <t>5(LL)*L^4/(384*E*Ix) =</t>
  </si>
  <si>
    <t>L/360 =</t>
  </si>
  <si>
    <t>kg</t>
  </si>
  <si>
    <t>Cm</t>
  </si>
  <si>
    <t>IPE</t>
  </si>
  <si>
    <t>Ixx</t>
  </si>
  <si>
    <t>Sxx</t>
  </si>
  <si>
    <t>tw</t>
  </si>
  <si>
    <t>H</t>
  </si>
  <si>
    <t>Ixb</t>
  </si>
  <si>
    <t>Sxb</t>
  </si>
  <si>
    <t>Sxa</t>
  </si>
  <si>
    <t>CIPE 140</t>
  </si>
  <si>
    <t>CIPE 160</t>
  </si>
  <si>
    <t>CIPE 180</t>
  </si>
  <si>
    <t>CIPE 200</t>
  </si>
  <si>
    <t>CIPE 220</t>
  </si>
  <si>
    <t>CIPE 240</t>
  </si>
  <si>
    <t>CIPE 270</t>
  </si>
  <si>
    <t>ts (tw)</t>
  </si>
  <si>
    <t>Sxa =</t>
  </si>
  <si>
    <t>Sxb =</t>
  </si>
  <si>
    <t>h =</t>
  </si>
  <si>
    <t>b1=</t>
  </si>
  <si>
    <t>b2=</t>
  </si>
  <si>
    <t>ts</t>
  </si>
  <si>
    <t>UNP</t>
  </si>
  <si>
    <t>UNP 50</t>
  </si>
  <si>
    <t>UNP 60</t>
  </si>
  <si>
    <t>UNP 65</t>
  </si>
  <si>
    <t>UNP 80</t>
  </si>
  <si>
    <t>UNP 100</t>
  </si>
  <si>
    <t>UNP 120</t>
  </si>
  <si>
    <t>UNP 140</t>
  </si>
  <si>
    <t>UNP 160</t>
  </si>
  <si>
    <t>UNP 180</t>
  </si>
  <si>
    <t>UNP 200</t>
  </si>
  <si>
    <t>UNP 220</t>
  </si>
  <si>
    <t>UNP 240</t>
  </si>
  <si>
    <t>UNP 260</t>
  </si>
  <si>
    <t>UNP 280</t>
  </si>
  <si>
    <t>UNP 300</t>
  </si>
  <si>
    <t>tg=r1</t>
  </si>
  <si>
    <t>r2</t>
  </si>
  <si>
    <t>ez</t>
  </si>
  <si>
    <t>BRACE</t>
  </si>
  <si>
    <t>P=</t>
  </si>
  <si>
    <t>L=</t>
  </si>
  <si>
    <t>Ton</t>
  </si>
  <si>
    <t>Kx =</t>
  </si>
  <si>
    <t>Ky =</t>
  </si>
  <si>
    <t>DESIGN OF BRACE TYPE :</t>
  </si>
  <si>
    <t>Fy=</t>
  </si>
  <si>
    <t>Fb=</t>
  </si>
  <si>
    <t>kg/cm^2</t>
  </si>
  <si>
    <t>Cm^2</t>
  </si>
  <si>
    <t>ZEKHAMATE VARAGHE BEYNE DO PROFILE=</t>
  </si>
  <si>
    <t>Ix =</t>
  </si>
  <si>
    <t>Sx =</t>
  </si>
  <si>
    <t>Ix</t>
  </si>
  <si>
    <t>Sx</t>
  </si>
  <si>
    <t>Cm^4</t>
  </si>
  <si>
    <t>Cm^3</t>
  </si>
  <si>
    <t>Iy</t>
  </si>
  <si>
    <t>Iy=</t>
  </si>
  <si>
    <t>Sy=</t>
  </si>
  <si>
    <t>Sy</t>
  </si>
  <si>
    <t>A=</t>
  </si>
  <si>
    <t>b=</t>
  </si>
  <si>
    <t>ez=</t>
  </si>
  <si>
    <t>X(bar)=</t>
  </si>
  <si>
    <t>A(req)</t>
  </si>
  <si>
    <t>I(xx)=</t>
  </si>
  <si>
    <t>r(xx)=</t>
  </si>
  <si>
    <t>I(yy)=</t>
  </si>
  <si>
    <t>r(yy)=</t>
  </si>
  <si>
    <t>(kl/r)x=</t>
  </si>
  <si>
    <t>(kl/r)y=</t>
  </si>
  <si>
    <t>Cc =</t>
  </si>
  <si>
    <t>6440/Fy^0.5=</t>
  </si>
  <si>
    <t>1/[1+(kl/r)/(2Cc)]=</t>
  </si>
  <si>
    <t>B=</t>
  </si>
  <si>
    <t>(kl/r)/(Cc)=</t>
  </si>
  <si>
    <t>Kg/cm^2</t>
  </si>
  <si>
    <t>Fas =</t>
  </si>
  <si>
    <t>B*Fa=</t>
  </si>
  <si>
    <t>fa =</t>
  </si>
  <si>
    <t>P/A =</t>
  </si>
  <si>
    <t>COLUMN</t>
  </si>
  <si>
    <t>PLATE:</t>
  </si>
  <si>
    <t>→</t>
  </si>
  <si>
    <t>PLATE1</t>
  </si>
  <si>
    <t>PLATE2</t>
  </si>
  <si>
    <t>PLATE3</t>
  </si>
  <si>
    <t>C /C =</t>
  </si>
  <si>
    <t>فاصله بین دولبه دو پروفیل</t>
  </si>
  <si>
    <t xml:space="preserve">C/C </t>
  </si>
  <si>
    <t>PLATE 1:</t>
  </si>
  <si>
    <t>PLATE 2:</t>
  </si>
  <si>
    <t>PLATE 3:</t>
  </si>
  <si>
    <t>t=</t>
  </si>
  <si>
    <t>Y(bar)=</t>
  </si>
  <si>
    <t>d=</t>
  </si>
  <si>
    <t>d</t>
  </si>
  <si>
    <t>کل</t>
  </si>
  <si>
    <t>Iyy =</t>
  </si>
  <si>
    <t>A =</t>
  </si>
  <si>
    <t>β=(</t>
  </si>
  <si>
    <t>S=</t>
  </si>
  <si>
    <t>DESIGN OF COLUMN TYPE :</t>
  </si>
  <si>
    <t>√</t>
  </si>
  <si>
    <t>انتخاب پروفیل</t>
  </si>
  <si>
    <t>SECTION PROPERTIES :</t>
  </si>
  <si>
    <t>F.S.=1.67+.375β -.125β^3=</t>
  </si>
  <si>
    <t xml:space="preserve">  Fa =(1-.5*β^2)*Fy/F.S.=</t>
  </si>
  <si>
    <t xml:space="preserve">   → (kl/r)max=</t>
  </si>
  <si>
    <t>lx=</t>
  </si>
  <si>
    <t>ly=</t>
  </si>
  <si>
    <t>X</t>
  </si>
  <si>
    <t>/</t>
  </si>
  <si>
    <t>V &amp; Λ</t>
  </si>
  <si>
    <t>TYPE  PRACE :</t>
  </si>
  <si>
    <t>1)</t>
  </si>
  <si>
    <t>2)</t>
  </si>
  <si>
    <t>3)</t>
  </si>
  <si>
    <t xml:space="preserve">  →  (kl/r)max=</t>
  </si>
  <si>
    <t xml:space="preserve">      6025/√Fy=</t>
  </si>
  <si>
    <r>
      <t>kg/cm</t>
    </r>
    <r>
      <rPr>
        <vertAlign val="superscript"/>
        <sz val="12"/>
        <rFont val="Monotype Corsiva"/>
        <family val="4"/>
      </rPr>
      <t>2</t>
    </r>
  </si>
  <si>
    <t>(6440/Fy)^0.5=</t>
  </si>
  <si>
    <t>IX</t>
  </si>
  <si>
    <t>SX</t>
  </si>
  <si>
    <t>IY</t>
  </si>
  <si>
    <t>SY</t>
  </si>
  <si>
    <t xml:space="preserve">      TEDAD PROFILE :</t>
  </si>
  <si>
    <t xml:space="preserve">    Pmax &gt;P</t>
  </si>
  <si>
    <t>PLATE1 :</t>
  </si>
  <si>
    <t>PLATE2 :</t>
  </si>
  <si>
    <t>t1=</t>
  </si>
  <si>
    <t xml:space="preserve"> t2=</t>
  </si>
  <si>
    <t>MOMENT STRESS CONTROL :</t>
  </si>
  <si>
    <t>V max =Fv*H*tw =</t>
  </si>
  <si>
    <t>5(DL+LL)*L^4/(384*E*Ix)=</t>
  </si>
  <si>
    <t>Vmax =Fv*h*tw =</t>
  </si>
  <si>
    <t>0.4 Fy =</t>
  </si>
  <si>
    <t>f'c=</t>
  </si>
  <si>
    <t>D=</t>
  </si>
  <si>
    <r>
      <t>cm</t>
    </r>
    <r>
      <rPr>
        <vertAlign val="superscript"/>
        <sz val="12"/>
        <rFont val="Monotype Corsiva"/>
        <family val="4"/>
      </rPr>
      <t>2</t>
    </r>
  </si>
  <si>
    <t>fp=P/A=</t>
  </si>
  <si>
    <t>α1=</t>
  </si>
  <si>
    <t>α2=</t>
  </si>
  <si>
    <t>a=</t>
  </si>
  <si>
    <t>Zone(II)</t>
  </si>
  <si>
    <t>a/b=</t>
  </si>
  <si>
    <t>M1=</t>
  </si>
  <si>
    <r>
      <rPr>
        <sz val="12"/>
        <rFont val="UniversalMath1 BT"/>
        <family val="1"/>
        <charset val="2"/>
      </rPr>
      <t>a</t>
    </r>
    <r>
      <rPr>
        <vertAlign val="subscript"/>
        <sz val="12"/>
        <rFont val="Monotype Corsiva"/>
        <family val="4"/>
      </rPr>
      <t>1</t>
    </r>
    <r>
      <rPr>
        <sz val="12"/>
        <rFont val="Monotype Corsiva"/>
        <family val="4"/>
      </rPr>
      <t>*fp*b</t>
    </r>
    <r>
      <rPr>
        <vertAlign val="superscript"/>
        <sz val="12"/>
        <rFont val="Monotype Corsiva"/>
        <family val="4"/>
      </rPr>
      <t xml:space="preserve">2 </t>
    </r>
    <r>
      <rPr>
        <sz val="12"/>
        <rFont val="Monotype Corsiva"/>
        <family val="4"/>
      </rPr>
      <t>=</t>
    </r>
  </si>
  <si>
    <t>M2=</t>
  </si>
  <si>
    <r>
      <rPr>
        <sz val="12"/>
        <rFont val="UniversalMath1 BT"/>
        <family val="1"/>
        <charset val="2"/>
      </rPr>
      <t>a</t>
    </r>
    <r>
      <rPr>
        <vertAlign val="subscript"/>
        <sz val="12"/>
        <rFont val="Monotype Corsiva"/>
        <family val="4"/>
      </rPr>
      <t>2</t>
    </r>
    <r>
      <rPr>
        <sz val="12"/>
        <rFont val="Monotype Corsiva"/>
        <family val="4"/>
      </rPr>
      <t>*fp*a</t>
    </r>
    <r>
      <rPr>
        <vertAlign val="superscript"/>
        <sz val="12"/>
        <rFont val="Monotype Corsiva"/>
        <family val="4"/>
      </rPr>
      <t>2</t>
    </r>
    <r>
      <rPr>
        <sz val="12"/>
        <rFont val="Monotype Corsiva"/>
        <family val="4"/>
      </rPr>
      <t>=</t>
    </r>
  </si>
  <si>
    <t>M(max)=</t>
  </si>
  <si>
    <t xml:space="preserve">        t=&gt;(6M/(0.75FY))^0.5=</t>
  </si>
  <si>
    <t>b4/a4</t>
  </si>
  <si>
    <t>2&gt;…</t>
  </si>
  <si>
    <t>a1</t>
  </si>
  <si>
    <t>a2</t>
  </si>
  <si>
    <t>Fp=</t>
  </si>
  <si>
    <t>H=</t>
  </si>
  <si>
    <t>e=</t>
  </si>
  <si>
    <t>H/2=</t>
  </si>
  <si>
    <t>e&lt;H/6</t>
  </si>
  <si>
    <t>H/6=</t>
  </si>
  <si>
    <t>fp=</t>
  </si>
  <si>
    <t>(P/BH)(1+(6e/H))=</t>
  </si>
  <si>
    <t>A=B.H=</t>
  </si>
  <si>
    <t xml:space="preserve">         t=&gt;(6M/(0.75FY))^0.5=</t>
  </si>
  <si>
    <t>Design Of Base Plate  CORNER</t>
  </si>
  <si>
    <t>DESIGN OF BASE PLATE TYPE :</t>
  </si>
  <si>
    <t>DESIGNE OF ANCHOR BOLTS</t>
  </si>
  <si>
    <t>Fu=</t>
  </si>
  <si>
    <r>
      <t>T=0.75(P</t>
    </r>
    <r>
      <rPr>
        <vertAlign val="subscript"/>
        <sz val="12"/>
        <rFont val="Monotype Corsiva"/>
        <family val="4"/>
      </rPr>
      <t>DL</t>
    </r>
    <r>
      <rPr>
        <sz val="12"/>
        <rFont val="Monotype Corsiva"/>
        <family val="4"/>
      </rPr>
      <t>+P</t>
    </r>
    <r>
      <rPr>
        <vertAlign val="subscript"/>
        <sz val="12"/>
        <rFont val="Monotype Corsiva"/>
        <family val="4"/>
      </rPr>
      <t>LL</t>
    </r>
    <r>
      <rPr>
        <sz val="12"/>
        <rFont val="Monotype Corsiva"/>
        <family val="4"/>
      </rPr>
      <t>+P</t>
    </r>
    <r>
      <rPr>
        <vertAlign val="subscript"/>
        <sz val="12"/>
        <rFont val="Monotype Corsiva"/>
        <family val="4"/>
      </rPr>
      <t>EQ</t>
    </r>
    <r>
      <rPr>
        <sz val="12"/>
        <rFont val="Monotype Corsiva"/>
        <family val="4"/>
      </rPr>
      <t>)</t>
    </r>
  </si>
  <si>
    <t>Fv=0.17Fu</t>
  </si>
  <si>
    <t>fv=V/A</t>
  </si>
  <si>
    <t>V=0.75Ve</t>
  </si>
  <si>
    <t>Ft=0.43Fu-1.8fv&lt;=0.33Fu</t>
  </si>
  <si>
    <t>joint</t>
  </si>
  <si>
    <t>NO.</t>
  </si>
  <si>
    <t>f</t>
  </si>
  <si>
    <t>a</t>
  </si>
  <si>
    <t>Ve</t>
  </si>
  <si>
    <t>T</t>
  </si>
  <si>
    <t>V</t>
  </si>
  <si>
    <t>Fv</t>
  </si>
  <si>
    <t>fv</t>
  </si>
  <si>
    <t>Ft</t>
  </si>
  <si>
    <t>Ft1</t>
  </si>
  <si>
    <t>ft</t>
  </si>
  <si>
    <t>Ft1=0.33Fu=</t>
  </si>
  <si>
    <t>fc=</t>
  </si>
  <si>
    <t>db=</t>
  </si>
  <si>
    <t>mm</t>
  </si>
  <si>
    <r>
      <rPr>
        <sz val="12"/>
        <rFont val="UniversalMath1 BT"/>
        <family val="1"/>
        <charset val="2"/>
      </rPr>
      <t>u</t>
    </r>
    <r>
      <rPr>
        <sz val="12"/>
        <rFont val="Monotype Corsiva"/>
        <family val="4"/>
      </rPr>
      <t>=90</t>
    </r>
  </si>
  <si>
    <t>طول کل</t>
  </si>
  <si>
    <r>
      <rPr>
        <sz val="12"/>
        <rFont val="UniversalMath1 BT"/>
        <family val="1"/>
        <charset val="2"/>
      </rPr>
      <t>u</t>
    </r>
    <r>
      <rPr>
        <sz val="12"/>
        <rFont val="Monotype Corsiva"/>
        <family val="4"/>
      </rPr>
      <t>=180</t>
    </r>
  </si>
  <si>
    <t>طول گیرایی در کشش بدون قلاب:</t>
  </si>
  <si>
    <t>طول گیرایی در کشش با قلاب:</t>
  </si>
  <si>
    <t xml:space="preserve">            fbd=3.15(fc)^0.5=</t>
  </si>
  <si>
    <t xml:space="preserve">         ldb=db*Fy/(4*fbd)=</t>
  </si>
  <si>
    <t xml:space="preserve">            l=12*db+ldb=</t>
  </si>
  <si>
    <t>m</t>
  </si>
  <si>
    <t>hr=</t>
  </si>
  <si>
    <t>qd=</t>
  </si>
  <si>
    <t>kg/m^2</t>
  </si>
  <si>
    <t>fy=</t>
  </si>
  <si>
    <t>hc=</t>
  </si>
  <si>
    <t>w=</t>
  </si>
  <si>
    <t>ql=</t>
  </si>
  <si>
    <t>joist :</t>
  </si>
  <si>
    <t>cover=</t>
  </si>
  <si>
    <t>try with</t>
  </si>
  <si>
    <t>n</t>
  </si>
  <si>
    <t>F</t>
  </si>
  <si>
    <t>As1:</t>
  </si>
  <si>
    <t>h total=</t>
  </si>
  <si>
    <t>bf=</t>
  </si>
  <si>
    <t>cm^2</t>
  </si>
  <si>
    <t>hmin=</t>
  </si>
  <si>
    <t>As total=</t>
  </si>
  <si>
    <t>RIBBED SLAB DESIGN SHEET</t>
  </si>
  <si>
    <t>Assumption's:</t>
  </si>
  <si>
    <t>Given:</t>
  </si>
  <si>
    <t>Solution :</t>
  </si>
  <si>
    <t>cm  ~ 25cm</t>
  </si>
  <si>
    <t>&lt;=</t>
  </si>
  <si>
    <t>qu=1.4*qd+1.7*ql</t>
  </si>
  <si>
    <t>qu=</t>
  </si>
  <si>
    <t>wu=qu*W</t>
  </si>
  <si>
    <t xml:space="preserve">wu= </t>
  </si>
  <si>
    <t xml:space="preserve">kg/m </t>
  </si>
  <si>
    <t>Mu=wu*L^2/8</t>
  </si>
  <si>
    <t>Mu=</t>
  </si>
  <si>
    <t>a=As*Fy/(.85*f'c*b)</t>
  </si>
  <si>
    <t>check a&lt;hc</t>
  </si>
  <si>
    <t>&lt;</t>
  </si>
  <si>
    <t>Mn=As*fy*(d-a/2)</t>
  </si>
  <si>
    <t>Mn=</t>
  </si>
  <si>
    <t>fMn=</t>
  </si>
  <si>
    <t>Mu&lt;</t>
  </si>
  <si>
    <t>fMn</t>
  </si>
  <si>
    <t>RATIO:</t>
  </si>
  <si>
    <t>Moment</t>
  </si>
  <si>
    <t xml:space="preserve">     JOIST TYPE :</t>
  </si>
  <si>
    <t>Try with:</t>
  </si>
  <si>
    <t>ONE JOIST</t>
  </si>
  <si>
    <t>DOBULE JOIST</t>
  </si>
  <si>
    <t xml:space="preserve">              Pmax =Fa*A =</t>
  </si>
  <si>
    <t>Pc=A*Fa=</t>
  </si>
  <si>
    <t>STORY1</t>
  </si>
  <si>
    <t>`</t>
  </si>
  <si>
    <t xml:space="preserve">        hmin=(0.4+Fy/670)*L/20=</t>
  </si>
  <si>
    <t>Mx=</t>
  </si>
  <si>
    <t>My=</t>
  </si>
  <si>
    <t>Sx=</t>
  </si>
  <si>
    <t>Ixx /C=</t>
  </si>
  <si>
    <t>Iyy/C =</t>
  </si>
  <si>
    <t xml:space="preserve"> fa/Fa=</t>
  </si>
  <si>
    <r>
      <t>f</t>
    </r>
    <r>
      <rPr>
        <vertAlign val="subscript"/>
        <sz val="12"/>
        <rFont val="Monotype Corsiva"/>
        <family val="4"/>
      </rPr>
      <t>bx</t>
    </r>
    <r>
      <rPr>
        <sz val="12"/>
        <rFont val="Monotype Corsiva"/>
        <family val="4"/>
      </rPr>
      <t>=</t>
    </r>
  </si>
  <si>
    <r>
      <t>f</t>
    </r>
    <r>
      <rPr>
        <vertAlign val="subscript"/>
        <sz val="12"/>
        <rFont val="Monotype Corsiva"/>
        <family val="4"/>
      </rPr>
      <t>by</t>
    </r>
    <r>
      <rPr>
        <sz val="12"/>
        <rFont val="Monotype Corsiva"/>
        <family val="4"/>
      </rPr>
      <t>=</t>
    </r>
  </si>
  <si>
    <t>FBx=</t>
  </si>
  <si>
    <t>FBy=</t>
  </si>
  <si>
    <t>Fa =</t>
  </si>
  <si>
    <t>Story:</t>
  </si>
  <si>
    <t xml:space="preserve"> </t>
  </si>
  <si>
    <t>Earthquake Static Analyze</t>
  </si>
  <si>
    <t>نوع زمین</t>
  </si>
  <si>
    <t>خطر کم ومتوسط</t>
  </si>
  <si>
    <t>خطر زیاد وخیلی زیاد</t>
  </si>
  <si>
    <t>TYPE I</t>
  </si>
  <si>
    <t>TYPE II</t>
  </si>
  <si>
    <t>TYPE III</t>
  </si>
  <si>
    <t>TYPE IV</t>
  </si>
  <si>
    <t>1) STEEL BENDING FRAMES WITH INTERMEDIATE FRAMES</t>
  </si>
  <si>
    <t>2) CONCRETE BENDING FRAMES WITH INTERMEDIATE FRAMES</t>
  </si>
  <si>
    <t xml:space="preserve">3) OTHER STRUCTURE SYSTEMS  </t>
  </si>
  <si>
    <t>Bx=</t>
  </si>
  <si>
    <t>By=</t>
  </si>
  <si>
    <t>سیستم قاب ساختمانی ساده مهاربند هم محور فولادی</t>
  </si>
  <si>
    <t>GROUP OF STRUCTURE ACCORDING TO SIGNIFICANCE OF IT?</t>
  </si>
  <si>
    <t xml:space="preserve">GROUP 1) LOW IMPORTANCE </t>
  </si>
  <si>
    <t xml:space="preserve">GROUP 2) MEDIUM IMPORTANCE </t>
  </si>
  <si>
    <t xml:space="preserve">GROUP 3) HIGH IMPORTANCE </t>
  </si>
  <si>
    <t xml:space="preserve">GROUP 4)VERY HIGH IMPORTANCE </t>
  </si>
  <si>
    <t>I=</t>
  </si>
  <si>
    <t>(FACTOR OF BEHAVIOUR OF STRUCTURE)</t>
  </si>
  <si>
    <t>Rx=</t>
  </si>
  <si>
    <t>Ry=</t>
  </si>
  <si>
    <t>Cx=A.B.I/R=</t>
  </si>
  <si>
    <t>Cy=A.B.I/R=</t>
  </si>
  <si>
    <r>
      <t xml:space="preserve">    1)  T</t>
    </r>
    <r>
      <rPr>
        <vertAlign val="subscript"/>
        <sz val="11"/>
        <rFont val="Monotype Corsiva"/>
        <family val="4"/>
      </rPr>
      <t>S</t>
    </r>
    <r>
      <rPr>
        <sz val="11"/>
        <rFont val="Monotype Corsiva"/>
        <family val="4"/>
      </rPr>
      <t>=</t>
    </r>
  </si>
  <si>
    <r>
      <t>T</t>
    </r>
    <r>
      <rPr>
        <vertAlign val="subscript"/>
        <sz val="11"/>
        <rFont val="Monotype Corsiva"/>
        <family val="4"/>
      </rPr>
      <t>0</t>
    </r>
    <r>
      <rPr>
        <sz val="11"/>
        <rFont val="Monotype Corsiva"/>
        <family val="4"/>
      </rPr>
      <t>=</t>
    </r>
  </si>
  <si>
    <r>
      <t xml:space="preserve">    2)  T</t>
    </r>
    <r>
      <rPr>
        <vertAlign val="subscript"/>
        <sz val="11"/>
        <rFont val="Monotype Corsiva"/>
        <family val="4"/>
      </rPr>
      <t>S</t>
    </r>
    <r>
      <rPr>
        <sz val="11"/>
        <rFont val="Monotype Corsiva"/>
        <family val="4"/>
      </rPr>
      <t>=</t>
    </r>
  </si>
  <si>
    <r>
      <t xml:space="preserve">    3)  T</t>
    </r>
    <r>
      <rPr>
        <vertAlign val="subscript"/>
        <sz val="11"/>
        <rFont val="Monotype Corsiva"/>
        <family val="4"/>
      </rPr>
      <t>S</t>
    </r>
    <r>
      <rPr>
        <sz val="11"/>
        <rFont val="Monotype Corsiva"/>
        <family val="4"/>
      </rPr>
      <t>=</t>
    </r>
  </si>
  <si>
    <r>
      <t xml:space="preserve">    4)  T</t>
    </r>
    <r>
      <rPr>
        <vertAlign val="subscript"/>
        <sz val="11"/>
        <rFont val="Monotype Corsiva"/>
        <family val="4"/>
      </rPr>
      <t>S</t>
    </r>
    <r>
      <rPr>
        <sz val="11"/>
        <rFont val="Monotype Corsiva"/>
        <family val="4"/>
      </rPr>
      <t>=</t>
    </r>
  </si>
  <si>
    <r>
      <t>T</t>
    </r>
    <r>
      <rPr>
        <vertAlign val="subscript"/>
        <sz val="11"/>
        <rFont val="Monotype Corsiva"/>
        <family val="4"/>
      </rPr>
      <t>S</t>
    </r>
    <r>
      <rPr>
        <sz val="11"/>
        <rFont val="Monotype Corsiva"/>
        <family val="4"/>
      </rPr>
      <t>=</t>
    </r>
  </si>
  <si>
    <r>
      <t xml:space="preserve">KIND OF SYSTEM OF STRUCTURE </t>
    </r>
    <r>
      <rPr>
        <u/>
        <sz val="11"/>
        <color indexed="14"/>
        <rFont val="Monotype Corsiva"/>
        <family val="4"/>
      </rPr>
      <t>X</t>
    </r>
    <r>
      <rPr>
        <sz val="11"/>
        <rFont val="Monotype Corsiva"/>
        <family val="4"/>
      </rPr>
      <t>?</t>
    </r>
  </si>
  <si>
    <r>
      <t xml:space="preserve">KIND OF SYSTEM OF STRUCTURE </t>
    </r>
    <r>
      <rPr>
        <u/>
        <sz val="11"/>
        <color indexed="14"/>
        <rFont val="Monotype Corsiva"/>
        <family val="4"/>
      </rPr>
      <t>Y</t>
    </r>
    <r>
      <rPr>
        <sz val="11"/>
        <rFont val="Monotype Corsiva"/>
        <family val="4"/>
      </rPr>
      <t>?</t>
    </r>
  </si>
  <si>
    <t>.</t>
  </si>
  <si>
    <t>B1   Story2</t>
  </si>
  <si>
    <t>B4   Roof</t>
  </si>
  <si>
    <t>ft=T/A</t>
  </si>
  <si>
    <t>A=D.B</t>
  </si>
  <si>
    <t>BP4</t>
  </si>
  <si>
    <t xml:space="preserve">Design Of  MIDDEL Base Plate  </t>
  </si>
  <si>
    <t>Fp=0.6f'c</t>
  </si>
  <si>
    <t>fv&lt;Fv</t>
  </si>
  <si>
    <t>ft&lt;Ft</t>
  </si>
  <si>
    <t>USE</t>
  </si>
  <si>
    <t>Ø</t>
  </si>
  <si>
    <t>BP 4'</t>
  </si>
  <si>
    <t>0.3f'c=</t>
  </si>
  <si>
    <t>BP 5'</t>
  </si>
  <si>
    <t>Design Of Base Plate      CORNER</t>
  </si>
  <si>
    <t>BP 8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</si>
</sst>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13">
    <font>
      <sz val="10"/>
      <name val="Arial"/>
      <charset val="178"/>
    </font>
    <font>
      <sz val="10"/>
      <name val="Arial"/>
      <charset val="178"/>
    </font>
    <font>
      <sz val="8"/>
      <name val="Arial"/>
      <family val="2"/>
    </font>
    <font>
      <b/>
      <sz val="10"/>
      <name val="Arial"/>
      <family val="2"/>
    </font>
    <font>
      <sz val="10"/>
      <color indexed="61"/>
      <name val="Arial"/>
      <family val="2"/>
      <charset val="178"/>
    </font>
    <font>
      <sz val="8"/>
      <color indexed="61"/>
      <name val="Arial"/>
      <family val="2"/>
      <charset val="178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i/>
      <sz val="12"/>
      <name val="B Nazanin"/>
      <charset val="178"/>
    </font>
    <font>
      <sz val="10"/>
      <name val="B Nazanin"/>
      <charset val="178"/>
    </font>
    <font>
      <sz val="12"/>
      <name val="Arial"/>
      <family val="2"/>
    </font>
    <font>
      <b/>
      <sz val="10"/>
      <name val="Arial"/>
      <family val="2"/>
    </font>
    <font>
      <b/>
      <i/>
      <sz val="12"/>
      <color indexed="10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26"/>
      <name val="Monotype Corsiva"/>
      <family val="4"/>
    </font>
    <font>
      <sz val="10"/>
      <name val="Monotype Corsiva"/>
      <family val="4"/>
    </font>
    <font>
      <b/>
      <sz val="10"/>
      <name val="Monotype Corsiva"/>
      <family val="4"/>
    </font>
    <font>
      <b/>
      <sz val="12"/>
      <name val="Monotype Corsiva"/>
      <family val="4"/>
    </font>
    <font>
      <b/>
      <sz val="11"/>
      <name val="Monotype Corsiva"/>
      <family val="4"/>
    </font>
    <font>
      <sz val="8"/>
      <name val="Monotype Corsiva"/>
      <family val="4"/>
    </font>
    <font>
      <sz val="11"/>
      <name val="Monotype Corsiva"/>
      <family val="4"/>
    </font>
    <font>
      <sz val="12"/>
      <name val="Monotype Corsiva"/>
      <family val="4"/>
    </font>
    <font>
      <sz val="12"/>
      <name val="B Nazanin"/>
      <charset val="178"/>
    </font>
    <font>
      <sz val="11"/>
      <name val="B Nazanin"/>
      <charset val="178"/>
    </font>
    <font>
      <b/>
      <sz val="11"/>
      <name val="B Nazanin"/>
      <charset val="178"/>
    </font>
    <font>
      <b/>
      <u/>
      <sz val="12"/>
      <name val="Monotype Corsiva"/>
      <family val="4"/>
    </font>
    <font>
      <b/>
      <sz val="12"/>
      <color indexed="48"/>
      <name val="Monotype Corsiva"/>
      <family val="4"/>
    </font>
    <font>
      <b/>
      <sz val="12"/>
      <color indexed="10"/>
      <name val="Monotype Corsiva"/>
      <family val="4"/>
    </font>
    <font>
      <b/>
      <sz val="12"/>
      <color indexed="12"/>
      <name val="Monotype Corsiva"/>
      <family val="4"/>
    </font>
    <font>
      <sz val="12"/>
      <color indexed="10"/>
      <name val="Monotype Corsiva"/>
      <family val="4"/>
    </font>
    <font>
      <b/>
      <sz val="12"/>
      <name val="B Nazanin"/>
      <charset val="178"/>
    </font>
    <font>
      <b/>
      <i/>
      <sz val="12"/>
      <name val="Monotype Corsiva"/>
      <family val="4"/>
    </font>
    <font>
      <b/>
      <i/>
      <u/>
      <sz val="10"/>
      <color indexed="12"/>
      <name val="Times New Roman"/>
      <family val="1"/>
    </font>
    <font>
      <b/>
      <i/>
      <sz val="12"/>
      <color indexed="10"/>
      <name val="Monotype Corsiva"/>
      <family val="4"/>
    </font>
    <font>
      <b/>
      <i/>
      <sz val="12"/>
      <color indexed="8"/>
      <name val="Monotype Corsiva"/>
      <family val="4"/>
    </font>
    <font>
      <b/>
      <i/>
      <sz val="12"/>
      <color indexed="12"/>
      <name val="Monotype Corsiva"/>
      <family val="4"/>
    </font>
    <font>
      <b/>
      <i/>
      <sz val="10"/>
      <color indexed="8"/>
      <name val="Arial"/>
      <family val="2"/>
    </font>
    <font>
      <b/>
      <i/>
      <sz val="11"/>
      <name val="Arial"/>
      <family val="2"/>
    </font>
    <font>
      <b/>
      <i/>
      <sz val="11"/>
      <name val="B Nazanin"/>
      <charset val="178"/>
    </font>
    <font>
      <b/>
      <i/>
      <sz val="11"/>
      <name val="Monotype Corsiva"/>
      <family val="4"/>
    </font>
    <font>
      <b/>
      <i/>
      <u/>
      <sz val="10"/>
      <color indexed="10"/>
      <name val="Times New Roman"/>
      <family val="1"/>
    </font>
    <font>
      <b/>
      <i/>
      <sz val="11"/>
      <name val="Times New Roman"/>
      <family val="1"/>
    </font>
    <font>
      <sz val="11"/>
      <color indexed="60"/>
      <name val="Arial"/>
      <family val="2"/>
    </font>
    <font>
      <sz val="26"/>
      <color indexed="8"/>
      <name val="Monotype Corsiva"/>
      <family val="4"/>
    </font>
    <font>
      <b/>
      <i/>
      <sz val="26"/>
      <color indexed="8"/>
      <name val="Monotype Corsiva"/>
      <family val="4"/>
    </font>
    <font>
      <vertAlign val="superscript"/>
      <sz val="12"/>
      <name val="Monotype Corsiva"/>
      <family val="4"/>
    </font>
    <font>
      <i/>
      <sz val="11"/>
      <name val="Monotype Corsiva"/>
      <family val="4"/>
    </font>
    <font>
      <i/>
      <sz val="12"/>
      <name val="Monotype Corsiva"/>
      <family val="4"/>
    </font>
    <font>
      <i/>
      <sz val="10"/>
      <name val="Arial"/>
      <family val="2"/>
    </font>
    <font>
      <i/>
      <sz val="11"/>
      <name val="B Nazanin"/>
      <charset val="178"/>
    </font>
    <font>
      <i/>
      <sz val="12"/>
      <name val="Arial"/>
      <family val="2"/>
    </font>
    <font>
      <u/>
      <sz val="10"/>
      <color indexed="10"/>
      <name val="Times New Roman"/>
      <family val="1"/>
    </font>
    <font>
      <sz val="14"/>
      <name val="Monotype Corsiva"/>
      <family val="4"/>
    </font>
    <font>
      <b/>
      <sz val="12"/>
      <color indexed="10"/>
      <name val="Monotype Corsiva"/>
      <family val="4"/>
    </font>
    <font>
      <b/>
      <sz val="11"/>
      <color indexed="10"/>
      <name val="Monotype Corsiva"/>
      <family val="4"/>
    </font>
    <font>
      <b/>
      <sz val="12"/>
      <color indexed="12"/>
      <name val="Monotype Corsiva"/>
      <family val="4"/>
    </font>
    <font>
      <b/>
      <i/>
      <sz val="12"/>
      <color indexed="10"/>
      <name val="Monotype Corsiva"/>
      <family val="4"/>
    </font>
    <font>
      <sz val="11"/>
      <color indexed="15"/>
      <name val="Monotype Corsiva"/>
      <family val="4"/>
    </font>
    <font>
      <b/>
      <i/>
      <sz val="11"/>
      <color indexed="15"/>
      <name val="Monotype Corsiva"/>
      <family val="4"/>
    </font>
    <font>
      <b/>
      <i/>
      <sz val="26"/>
      <color indexed="15"/>
      <name val="Monotype Corsiva"/>
      <family val="4"/>
    </font>
    <font>
      <b/>
      <u/>
      <sz val="11"/>
      <name val="Monotype Corsiva"/>
      <family val="4"/>
    </font>
    <font>
      <b/>
      <sz val="12"/>
      <color indexed="48"/>
      <name val="Monotype Corsiva"/>
      <family val="4"/>
    </font>
    <font>
      <b/>
      <sz val="11"/>
      <color indexed="10"/>
      <name val="Monotype Corsiva"/>
      <family val="4"/>
    </font>
    <font>
      <u/>
      <sz val="12"/>
      <name val="Monotype Corsiva"/>
      <family val="4"/>
    </font>
    <font>
      <sz val="12"/>
      <name val="UniversalMath1 BT"/>
      <family val="1"/>
      <charset val="2"/>
    </font>
    <font>
      <vertAlign val="subscript"/>
      <sz val="12"/>
      <name val="Monotype Corsiva"/>
      <family val="4"/>
    </font>
    <font>
      <sz val="12"/>
      <name val="Arial"/>
      <family val="2"/>
    </font>
    <font>
      <sz val="16"/>
      <name val="Monotype Corsiva"/>
      <family val="4"/>
    </font>
    <font>
      <sz val="14"/>
      <name val="Arial"/>
      <family val="2"/>
    </font>
    <font>
      <sz val="12"/>
      <color indexed="8"/>
      <name val="Monotype Corsiva"/>
      <family val="4"/>
    </font>
    <font>
      <sz val="12"/>
      <color indexed="59"/>
      <name val="Monotype Corsiva"/>
      <family val="4"/>
    </font>
    <font>
      <b/>
      <sz val="11"/>
      <color indexed="48"/>
      <name val="Monotype Corsiva"/>
      <family val="4"/>
    </font>
    <font>
      <b/>
      <sz val="11"/>
      <color indexed="10"/>
      <name val="Monotype Corsiva"/>
      <family val="4"/>
    </font>
    <font>
      <sz val="11"/>
      <color indexed="10"/>
      <name val="Monotype Corsiva"/>
      <family val="4"/>
    </font>
    <font>
      <b/>
      <sz val="12"/>
      <color indexed="10"/>
      <name val="Monotype Corsiva"/>
      <family val="4"/>
    </font>
    <font>
      <b/>
      <sz val="12"/>
      <color indexed="12"/>
      <name val="Monotype Corsiva"/>
      <family val="4"/>
    </font>
    <font>
      <b/>
      <sz val="11"/>
      <color indexed="12"/>
      <name val="Monotype Corsiva"/>
      <family val="4"/>
    </font>
    <font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1"/>
      <color indexed="10"/>
      <name val="Monotype Corsiva"/>
      <family val="4"/>
    </font>
    <font>
      <i/>
      <sz val="12"/>
      <color indexed="10"/>
      <name val="Monotype Corsiva"/>
      <family val="4"/>
    </font>
    <font>
      <b/>
      <i/>
      <sz val="11"/>
      <color indexed="12"/>
      <name val="Monotype Corsiva"/>
      <family val="4"/>
    </font>
    <font>
      <b/>
      <sz val="12"/>
      <color indexed="8"/>
      <name val="Monotype Corsiva"/>
      <family val="4"/>
    </font>
    <font>
      <b/>
      <sz val="26"/>
      <name val="Monotype Corsiva"/>
      <family val="4"/>
    </font>
    <font>
      <sz val="10"/>
      <name val="Arial"/>
      <family val="2"/>
    </font>
    <font>
      <sz val="11"/>
      <color indexed="8"/>
      <name val="Monotype Corsiva"/>
      <family val="4"/>
    </font>
    <font>
      <sz val="10"/>
      <name val="Arial"/>
      <family val="2"/>
    </font>
    <font>
      <sz val="11"/>
      <color indexed="12"/>
      <name val="Monotype Corsiva"/>
      <family val="4"/>
    </font>
    <font>
      <b/>
      <i/>
      <sz val="26"/>
      <name val="Monotype Corsiva"/>
      <family val="4"/>
    </font>
    <font>
      <i/>
      <u/>
      <sz val="12"/>
      <name val="B Nazanin"/>
      <charset val="178"/>
    </font>
    <font>
      <vertAlign val="subscript"/>
      <sz val="11"/>
      <name val="Monotype Corsiva"/>
      <family val="4"/>
    </font>
    <font>
      <u/>
      <sz val="11"/>
      <color indexed="14"/>
      <name val="Monotype Corsiva"/>
      <family val="4"/>
    </font>
    <font>
      <b/>
      <sz val="12"/>
      <color indexed="48"/>
      <name val="Monotype Corsiva"/>
      <family val="4"/>
    </font>
    <font>
      <sz val="12"/>
      <color indexed="8"/>
      <name val="Monotype Corsiva"/>
      <family val="4"/>
    </font>
    <font>
      <b/>
      <sz val="12"/>
      <color indexed="8"/>
      <name val="Monotype Corsiva"/>
      <family val="4"/>
    </font>
    <font>
      <sz val="11"/>
      <name val="Times New Roman"/>
      <family val="1"/>
    </font>
    <font>
      <sz val="10"/>
      <name val="Times New Roman"/>
      <family val="1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color indexed="12"/>
      <name val="Times New Roman"/>
      <family val="1"/>
    </font>
    <font>
      <b/>
      <sz val="10"/>
      <name val="Times New Roman"/>
      <family val="1"/>
    </font>
    <font>
      <sz val="7"/>
      <name val="Arial"/>
      <family val="2"/>
    </font>
    <font>
      <b/>
      <sz val="10"/>
      <name val="Calibri"/>
      <family val="2"/>
    </font>
    <font>
      <b/>
      <sz val="12"/>
      <color rgb="FF00B0F0"/>
      <name val="Monotype Corsiva"/>
      <family val="4"/>
    </font>
    <font>
      <sz val="12"/>
      <color rgb="FFFF0000"/>
      <name val="Monotype Corsiva"/>
      <family val="4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164" fontId="9" fillId="0" borderId="0">
      <alignment horizontal="center"/>
    </xf>
    <xf numFmtId="2" fontId="1" fillId="0" borderId="0"/>
    <xf numFmtId="2" fontId="1" fillId="0" borderId="0"/>
    <xf numFmtId="165" fontId="1" fillId="0" borderId="0"/>
  </cellStyleXfs>
  <cellXfs count="5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7" fillId="0" borderId="0" xfId="0" applyFont="1" applyBorder="1"/>
    <xf numFmtId="0" fontId="12" fillId="0" borderId="0" xfId="0" applyFont="1"/>
    <xf numFmtId="0" fontId="7" fillId="0" borderId="0" xfId="0" applyFont="1"/>
    <xf numFmtId="0" fontId="19" fillId="0" borderId="0" xfId="0" applyFont="1" applyFill="1" applyAlignment="1">
      <alignment horizontal="center" vertical="center"/>
    </xf>
    <xf numFmtId="0" fontId="20" fillId="0" borderId="0" xfId="0" applyFont="1" applyFill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/>
    <xf numFmtId="0" fontId="19" fillId="2" borderId="0" xfId="0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25" fillId="0" borderId="0" xfId="0" applyFont="1" applyFill="1" applyAlignment="1">
      <alignment horizontal="right" vertical="center"/>
    </xf>
    <xf numFmtId="0" fontId="25" fillId="0" borderId="0" xfId="0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29" fillId="0" borderId="0" xfId="0" applyFont="1" applyFill="1"/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29" fillId="0" borderId="0" xfId="0" applyFont="1" applyFill="1" applyBorder="1"/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/>
    </xf>
    <xf numFmtId="0" fontId="26" fillId="0" borderId="3" xfId="0" applyFont="1" applyFill="1" applyBorder="1" applyAlignment="1">
      <alignment vertical="center"/>
    </xf>
    <xf numFmtId="0" fontId="26" fillId="0" borderId="4" xfId="0" applyFont="1" applyFill="1" applyBorder="1" applyAlignment="1">
      <alignment horizontal="right" vertical="center"/>
    </xf>
    <xf numFmtId="0" fontId="26" fillId="0" borderId="5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6" fillId="0" borderId="0" xfId="0" applyFont="1" applyBorder="1"/>
    <xf numFmtId="0" fontId="9" fillId="0" borderId="0" xfId="0" applyFont="1" applyFill="1" applyBorder="1"/>
    <xf numFmtId="0" fontId="25" fillId="0" borderId="0" xfId="0" applyFont="1" applyFill="1" applyBorder="1" applyAlignment="1">
      <alignment vertical="center"/>
    </xf>
    <xf numFmtId="0" fontId="35" fillId="0" borderId="5" xfId="0" applyFont="1" applyFill="1" applyBorder="1" applyAlignment="1">
      <alignment vertical="center"/>
    </xf>
    <xf numFmtId="0" fontId="25" fillId="0" borderId="0" xfId="0" applyFont="1" applyFill="1" applyBorder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/>
    <xf numFmtId="0" fontId="13" fillId="0" borderId="0" xfId="0" applyFont="1"/>
    <xf numFmtId="0" fontId="22" fillId="0" borderId="0" xfId="0" applyFont="1" applyAlignment="1">
      <alignment horizontal="right"/>
    </xf>
    <xf numFmtId="0" fontId="37" fillId="0" borderId="0" xfId="0" applyFont="1"/>
    <xf numFmtId="0" fontId="38" fillId="0" borderId="0" xfId="0" applyFont="1" applyAlignment="1">
      <alignment horizontal="center"/>
    </xf>
    <xf numFmtId="0" fontId="29" fillId="0" borderId="0" xfId="0" applyFont="1"/>
    <xf numFmtId="0" fontId="39" fillId="0" borderId="0" xfId="0" applyFont="1"/>
    <xf numFmtId="0" fontId="14" fillId="0" borderId="0" xfId="0" applyFont="1"/>
    <xf numFmtId="0" fontId="3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17" fillId="0" borderId="0" xfId="0" applyFont="1"/>
    <xf numFmtId="0" fontId="8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22" fillId="0" borderId="0" xfId="0" applyFont="1"/>
    <xf numFmtId="0" fontId="28" fillId="0" borderId="0" xfId="0" applyFont="1"/>
    <xf numFmtId="0" fontId="42" fillId="0" borderId="0" xfId="0" applyFont="1" applyAlignment="1">
      <alignment horizontal="center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38" fillId="0" borderId="0" xfId="0" applyFont="1" applyFill="1" applyAlignment="1">
      <alignment horizontal="center"/>
    </xf>
    <xf numFmtId="0" fontId="36" fillId="0" borderId="0" xfId="0" applyFont="1" applyFill="1"/>
    <xf numFmtId="0" fontId="32" fillId="0" borderId="0" xfId="0" applyFont="1" applyFill="1" applyAlignment="1">
      <alignment horizontal="center"/>
    </xf>
    <xf numFmtId="0" fontId="17" fillId="0" borderId="0" xfId="0" applyFont="1" applyFill="1"/>
    <xf numFmtId="0" fontId="17" fillId="0" borderId="0" xfId="0" applyFont="1" applyFill="1" applyAlignment="1">
      <alignment horizontal="center"/>
    </xf>
    <xf numFmtId="0" fontId="38" fillId="0" borderId="0" xfId="0" applyFont="1"/>
    <xf numFmtId="0" fontId="38" fillId="0" borderId="0" xfId="0" applyFont="1" applyFill="1"/>
    <xf numFmtId="0" fontId="45" fillId="0" borderId="0" xfId="0" applyFont="1" applyFill="1"/>
    <xf numFmtId="0" fontId="36" fillId="0" borderId="0" xfId="0" applyFont="1" applyAlignment="1"/>
    <xf numFmtId="0" fontId="40" fillId="0" borderId="0" xfId="0" applyFont="1"/>
    <xf numFmtId="0" fontId="46" fillId="0" borderId="0" xfId="0" applyFont="1" applyFill="1" applyAlignment="1">
      <alignment horizontal="right"/>
    </xf>
    <xf numFmtId="0" fontId="1" fillId="0" borderId="0" xfId="0" applyFont="1"/>
    <xf numFmtId="0" fontId="47" fillId="0" borderId="0" xfId="0" applyFont="1"/>
    <xf numFmtId="0" fontId="30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vertical="center"/>
    </xf>
    <xf numFmtId="0" fontId="25" fillId="4" borderId="6" xfId="0" applyFont="1" applyFill="1" applyBorder="1" applyAlignment="1">
      <alignment horizontal="center" vertical="center"/>
    </xf>
    <xf numFmtId="0" fontId="36" fillId="0" borderId="0" xfId="0" applyFont="1" applyBorder="1"/>
    <xf numFmtId="0" fontId="39" fillId="0" borderId="0" xfId="0" applyFont="1" applyBorder="1"/>
    <xf numFmtId="0" fontId="36" fillId="0" borderId="0" xfId="0" applyFont="1" applyBorder="1" applyAlignment="1">
      <alignment horizontal="right"/>
    </xf>
    <xf numFmtId="0" fontId="40" fillId="0" borderId="0" xfId="0" applyFont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40" fillId="0" borderId="0" xfId="0" applyFont="1" applyBorder="1"/>
    <xf numFmtId="0" fontId="46" fillId="0" borderId="0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right" vertical="center"/>
    </xf>
    <xf numFmtId="0" fontId="58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right" vertical="center"/>
    </xf>
    <xf numFmtId="0" fontId="30" fillId="2" borderId="0" xfId="0" applyFont="1" applyFill="1" applyBorder="1" applyAlignment="1">
      <alignment horizontal="right" vertical="center"/>
    </xf>
    <xf numFmtId="0" fontId="60" fillId="0" borderId="0" xfId="0" applyFont="1" applyFill="1" applyBorder="1" applyAlignment="1">
      <alignment horizontal="center" vertical="center"/>
    </xf>
    <xf numFmtId="0" fontId="53" fillId="0" borderId="0" xfId="0" applyFont="1" applyBorder="1"/>
    <xf numFmtId="0" fontId="26" fillId="0" borderId="0" xfId="0" applyFont="1" applyBorder="1" applyAlignment="1">
      <alignment horizontal="right"/>
    </xf>
    <xf numFmtId="0" fontId="25" fillId="0" borderId="4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left" vertical="center"/>
    </xf>
    <xf numFmtId="0" fontId="25" fillId="3" borderId="6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62" fillId="2" borderId="0" xfId="0" applyFont="1" applyFill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2" borderId="0" xfId="0" applyFont="1" applyFill="1" applyAlignment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left" vertical="center"/>
      <protection locked="0"/>
    </xf>
    <xf numFmtId="0" fontId="25" fillId="0" borderId="0" xfId="0" applyFont="1" applyFill="1" applyBorder="1" applyAlignment="1" applyProtection="1">
      <alignment horizontal="left" vertical="center"/>
      <protection locked="0"/>
    </xf>
    <xf numFmtId="2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right" vertical="center"/>
      <protection locked="0"/>
    </xf>
    <xf numFmtId="0" fontId="59" fillId="0" borderId="0" xfId="0" applyFont="1" applyFill="1" applyBorder="1" applyAlignment="1">
      <alignment horizontal="left" vertical="center"/>
    </xf>
    <xf numFmtId="0" fontId="65" fillId="2" borderId="0" xfId="0" applyFont="1" applyFill="1" applyBorder="1" applyAlignment="1" applyProtection="1">
      <alignment vertical="center"/>
      <protection locked="0"/>
    </xf>
    <xf numFmtId="0" fontId="65" fillId="2" borderId="0" xfId="0" applyFont="1" applyFill="1" applyBorder="1" applyAlignment="1" applyProtection="1">
      <alignment horizontal="center" vertical="center"/>
      <protection locked="0"/>
    </xf>
    <xf numFmtId="0" fontId="65" fillId="2" borderId="0" xfId="0" applyFont="1" applyFill="1" applyBorder="1" applyAlignment="1" applyProtection="1">
      <alignment horizontal="left" vertical="center"/>
      <protection locked="0"/>
    </xf>
    <xf numFmtId="0" fontId="32" fillId="0" borderId="0" xfId="0" applyFont="1" applyBorder="1" applyAlignment="1">
      <alignment horizontal="center"/>
    </xf>
    <xf numFmtId="0" fontId="66" fillId="0" borderId="0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61" fillId="0" borderId="0" xfId="0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right" vertical="center"/>
    </xf>
    <xf numFmtId="0" fontId="26" fillId="0" borderId="4" xfId="0" applyFont="1" applyFill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6" fillId="0" borderId="5" xfId="0" applyFont="1" applyBorder="1" applyAlignment="1">
      <alignment vertical="center"/>
    </xf>
    <xf numFmtId="0" fontId="52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1" fontId="58" fillId="0" borderId="0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52" fillId="0" borderId="4" xfId="0" applyFont="1" applyFill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26" fillId="0" borderId="8" xfId="0" applyFont="1" applyBorder="1" applyAlignment="1">
      <alignment horizontal="right" vertical="center"/>
    </xf>
    <xf numFmtId="0" fontId="27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8" fillId="0" borderId="0" xfId="0" applyFont="1" applyFill="1" applyAlignment="1">
      <alignment vertical="center"/>
    </xf>
    <xf numFmtId="0" fontId="35" fillId="0" borderId="4" xfId="0" applyFont="1" applyFill="1" applyBorder="1" applyAlignment="1">
      <alignment horizontal="right" vertical="center"/>
    </xf>
    <xf numFmtId="0" fontId="35" fillId="0" borderId="4" xfId="0" applyFont="1" applyFill="1" applyBorder="1" applyAlignment="1">
      <alignment vertical="center"/>
    </xf>
    <xf numFmtId="0" fontId="26" fillId="0" borderId="9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3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25" fillId="0" borderId="0" xfId="0" applyFont="1" applyFill="1" applyBorder="1" applyAlignment="1" applyProtection="1">
      <alignment vertical="center"/>
      <protection locked="0"/>
    </xf>
    <xf numFmtId="0" fontId="59" fillId="0" borderId="0" xfId="0" applyFont="1" applyFill="1" applyBorder="1" applyAlignment="1" applyProtection="1">
      <alignment vertical="center"/>
      <protection locked="0"/>
    </xf>
    <xf numFmtId="0" fontId="25" fillId="0" borderId="0" xfId="0" applyFont="1" applyFill="1" applyAlignment="1">
      <alignment horizontal="left" vertical="center"/>
    </xf>
    <xf numFmtId="2" fontId="59" fillId="0" borderId="0" xfId="0" applyNumberFormat="1" applyFont="1" applyBorder="1" applyAlignment="1">
      <alignment horizontal="center"/>
    </xf>
    <xf numFmtId="0" fontId="67" fillId="8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0" fontId="77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Alignment="1">
      <alignment horizontal="center" vertical="center"/>
    </xf>
    <xf numFmtId="164" fontId="77" fillId="0" borderId="0" xfId="0" applyNumberFormat="1" applyFont="1" applyFill="1" applyBorder="1" applyAlignment="1" applyProtection="1">
      <alignment horizontal="center" vertical="center"/>
      <protection locked="0"/>
    </xf>
    <xf numFmtId="2" fontId="77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 applyProtection="1">
      <alignment horizontal="right" vertical="center"/>
      <protection locked="0"/>
    </xf>
    <xf numFmtId="0" fontId="23" fillId="2" borderId="0" xfId="0" applyFont="1" applyFill="1" applyBorder="1" applyAlignment="1" applyProtection="1">
      <alignment horizontal="left" vertical="center"/>
      <protection locked="0"/>
    </xf>
    <xf numFmtId="0" fontId="77" fillId="0" borderId="0" xfId="0" applyFont="1" applyFill="1" applyBorder="1" applyAlignment="1" applyProtection="1">
      <alignment vertical="center"/>
      <protection locked="0"/>
    </xf>
    <xf numFmtId="0" fontId="59" fillId="0" borderId="0" xfId="0" applyFont="1" applyFill="1" applyBorder="1" applyAlignment="1" applyProtection="1">
      <alignment horizontal="center" vertical="center"/>
      <protection locked="0"/>
    </xf>
    <xf numFmtId="0" fontId="78" fillId="0" borderId="0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Alignment="1">
      <alignment horizontal="right"/>
    </xf>
    <xf numFmtId="0" fontId="26" fillId="0" borderId="0" xfId="0" applyFont="1" applyAlignment="1">
      <alignment horizontal="left"/>
    </xf>
    <xf numFmtId="0" fontId="79" fillId="0" borderId="0" xfId="0" applyFont="1" applyBorder="1" applyAlignment="1">
      <alignment horizontal="center" vertical="center"/>
    </xf>
    <xf numFmtId="0" fontId="23" fillId="0" borderId="7" xfId="0" applyFont="1" applyFill="1" applyBorder="1" applyAlignment="1" applyProtection="1">
      <alignment vertical="center"/>
      <protection locked="0"/>
    </xf>
    <xf numFmtId="0" fontId="25" fillId="0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4" xfId="0" applyFont="1" applyFill="1" applyBorder="1" applyAlignment="1" applyProtection="1">
      <alignment horizontal="right" vertical="center"/>
      <protection locked="0"/>
    </xf>
    <xf numFmtId="0" fontId="25" fillId="0" borderId="4" xfId="0" applyFont="1" applyFill="1" applyBorder="1" applyAlignment="1" applyProtection="1">
      <alignment vertical="center"/>
      <protection locked="0"/>
    </xf>
    <xf numFmtId="0" fontId="23" fillId="0" borderId="4" xfId="0" applyFont="1" applyFill="1" applyBorder="1" applyAlignment="1" applyProtection="1">
      <alignment vertical="center"/>
      <protection locked="0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25" fillId="0" borderId="4" xfId="0" applyFont="1" applyFill="1" applyBorder="1" applyAlignment="1" applyProtection="1">
      <alignment horizontal="left" vertical="center"/>
      <protection locked="0"/>
    </xf>
    <xf numFmtId="0" fontId="27" fillId="0" borderId="5" xfId="0" applyFont="1" applyFill="1" applyBorder="1" applyAlignment="1">
      <alignment vertical="center"/>
    </xf>
    <xf numFmtId="0" fontId="26" fillId="0" borderId="5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25" fillId="0" borderId="8" xfId="0" applyFont="1" applyFill="1" applyBorder="1" applyAlignment="1" applyProtection="1">
      <alignment horizontal="center" vertical="center"/>
      <protection locked="0"/>
    </xf>
    <xf numFmtId="0" fontId="25" fillId="0" borderId="10" xfId="0" applyFont="1" applyFill="1" applyBorder="1" applyAlignment="1" applyProtection="1">
      <alignment horizontal="center" vertical="center"/>
      <protection locked="0"/>
    </xf>
    <xf numFmtId="0" fontId="59" fillId="0" borderId="8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82" fillId="0" borderId="0" xfId="0" applyFont="1" applyBorder="1" applyAlignment="1">
      <alignment horizontal="center" vertical="center"/>
    </xf>
    <xf numFmtId="0" fontId="81" fillId="0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2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78" fillId="8" borderId="0" xfId="0" applyFont="1" applyFill="1" applyBorder="1" applyAlignment="1">
      <alignment horizontal="center" vertical="center"/>
    </xf>
    <xf numFmtId="0" fontId="77" fillId="8" borderId="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right" vertical="center"/>
    </xf>
    <xf numFmtId="0" fontId="68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2" fillId="2" borderId="0" xfId="0" applyFont="1" applyFill="1" applyBorder="1" applyAlignment="1">
      <alignment horizontal="right" vertical="center"/>
    </xf>
    <xf numFmtId="0" fontId="79" fillId="0" borderId="0" xfId="0" applyFont="1" applyFill="1" applyBorder="1" applyAlignment="1">
      <alignment horizontal="center" vertical="center"/>
    </xf>
    <xf numFmtId="0" fontId="27" fillId="0" borderId="8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2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right" vertical="center"/>
    </xf>
    <xf numFmtId="0" fontId="79" fillId="0" borderId="0" xfId="0" applyFont="1" applyFill="1" applyBorder="1" applyAlignment="1">
      <alignment horizontal="left" vertical="center"/>
    </xf>
    <xf numFmtId="0" fontId="79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 applyProtection="1">
      <alignment horizontal="left" vertical="center"/>
      <protection locked="0"/>
    </xf>
    <xf numFmtId="0" fontId="26" fillId="0" borderId="4" xfId="0" applyFont="1" applyFill="1" applyBorder="1" applyAlignment="1">
      <alignment horizontal="left" vertical="center"/>
    </xf>
    <xf numFmtId="0" fontId="0" fillId="0" borderId="8" xfId="0" applyBorder="1"/>
    <xf numFmtId="0" fontId="0" fillId="0" borderId="7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6" fillId="0" borderId="4" xfId="0" applyFont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0" fillId="0" borderId="5" xfId="0" applyBorder="1"/>
    <xf numFmtId="0" fontId="26" fillId="0" borderId="5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8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26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 vertical="center"/>
    </xf>
    <xf numFmtId="0" fontId="22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80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22" fillId="0" borderId="0" xfId="0" applyFont="1" applyBorder="1" applyAlignment="1">
      <alignment horizontal="right" vertical="center"/>
    </xf>
    <xf numFmtId="0" fontId="79" fillId="0" borderId="0" xfId="0" applyFont="1" applyBorder="1" applyAlignment="1">
      <alignment vertical="center"/>
    </xf>
    <xf numFmtId="0" fontId="26" fillId="0" borderId="0" xfId="0" applyFont="1" applyBorder="1" applyAlignment="1">
      <alignment horizontal="justify" vertical="center" readingOrder="2"/>
    </xf>
    <xf numFmtId="0" fontId="26" fillId="0" borderId="0" xfId="0" applyFont="1" applyBorder="1" applyAlignment="1">
      <alignment horizontal="left" vertical="center" readingOrder="2"/>
    </xf>
    <xf numFmtId="0" fontId="71" fillId="0" borderId="7" xfId="0" applyFont="1" applyFill="1" applyBorder="1" applyAlignment="1">
      <alignment vertical="center"/>
    </xf>
    <xf numFmtId="0" fontId="71" fillId="0" borderId="2" xfId="0" applyFont="1" applyFill="1" applyBorder="1" applyAlignment="1">
      <alignment vertical="center"/>
    </xf>
    <xf numFmtId="0" fontId="72" fillId="0" borderId="2" xfId="0" applyFont="1" applyFill="1" applyBorder="1" applyAlignment="1">
      <alignment vertical="center"/>
    </xf>
    <xf numFmtId="0" fontId="72" fillId="0" borderId="2" xfId="0" applyFont="1" applyFill="1" applyBorder="1" applyAlignment="1">
      <alignment horizontal="center" vertical="center"/>
    </xf>
    <xf numFmtId="0" fontId="71" fillId="0" borderId="0" xfId="0" applyFont="1" applyFill="1" applyBorder="1" applyAlignment="1">
      <alignment vertical="center"/>
    </xf>
    <xf numFmtId="0" fontId="73" fillId="0" borderId="0" xfId="0" applyFont="1" applyFill="1" applyBorder="1" applyAlignment="1">
      <alignment vertical="center"/>
    </xf>
    <xf numFmtId="0" fontId="57" fillId="0" borderId="0" xfId="0" applyFont="1" applyFill="1" applyBorder="1" applyAlignment="1">
      <alignment horizontal="center" vertical="center"/>
    </xf>
    <xf numFmtId="0" fontId="71" fillId="0" borderId="4" xfId="0" applyFont="1" applyFill="1" applyBorder="1" applyAlignment="1">
      <alignment vertical="center"/>
    </xf>
    <xf numFmtId="0" fontId="0" fillId="0" borderId="2" xfId="0" applyBorder="1"/>
    <xf numFmtId="0" fontId="26" fillId="0" borderId="4" xfId="0" applyFont="1" applyBorder="1" applyAlignment="1">
      <alignment horizontal="right" vertical="center"/>
    </xf>
    <xf numFmtId="0" fontId="26" fillId="0" borderId="4" xfId="0" applyFont="1" applyBorder="1" applyAlignment="1">
      <alignment horizontal="justify" vertical="center" readingOrder="2"/>
    </xf>
    <xf numFmtId="0" fontId="26" fillId="0" borderId="4" xfId="0" applyFont="1" applyBorder="1" applyAlignment="1">
      <alignment horizontal="left" vertical="center" readingOrder="2"/>
    </xf>
    <xf numFmtId="0" fontId="0" fillId="0" borderId="3" xfId="0" applyBorder="1"/>
    <xf numFmtId="0" fontId="11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26" fillId="0" borderId="0" xfId="0" applyFont="1"/>
    <xf numFmtId="2" fontId="75" fillId="0" borderId="0" xfId="0" applyNumberFormat="1" applyFont="1" applyAlignment="1">
      <alignment horizontal="center" vertical="center"/>
    </xf>
    <xf numFmtId="0" fontId="34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74" fillId="0" borderId="0" xfId="0" applyFont="1" applyAlignment="1" applyProtection="1">
      <alignment horizontal="right" vertical="center"/>
    </xf>
    <xf numFmtId="0" fontId="26" fillId="0" borderId="7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2" fontId="26" fillId="0" borderId="0" xfId="0" applyNumberFormat="1" applyFont="1" applyBorder="1" applyAlignment="1">
      <alignment vertical="center"/>
    </xf>
    <xf numFmtId="2" fontId="26" fillId="0" borderId="0" xfId="0" applyNumberFormat="1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0" fillId="0" borderId="0" xfId="0" applyFont="1" applyBorder="1" applyAlignment="1">
      <alignment vertical="center"/>
    </xf>
    <xf numFmtId="0" fontId="81" fillId="0" borderId="0" xfId="0" applyFont="1" applyAlignment="1">
      <alignment horizontal="center" vertical="center"/>
    </xf>
    <xf numFmtId="0" fontId="22" fillId="0" borderId="11" xfId="0" applyFont="1" applyBorder="1" applyAlignment="1" applyProtection="1">
      <alignment horizontal="center" vertical="center"/>
      <protection locked="0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6" fillId="0" borderId="8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0" fillId="0" borderId="7" xfId="0" applyBorder="1"/>
    <xf numFmtId="0" fontId="84" fillId="0" borderId="0" xfId="0" applyFont="1"/>
    <xf numFmtId="0" fontId="22" fillId="0" borderId="0" xfId="0" applyFont="1" applyFill="1" applyAlignment="1">
      <alignment horizontal="right"/>
    </xf>
    <xf numFmtId="0" fontId="11" fillId="0" borderId="0" xfId="0" applyFont="1"/>
    <xf numFmtId="0" fontId="25" fillId="0" borderId="0" xfId="0" applyFont="1" applyBorder="1" applyAlignment="1">
      <alignment horizontal="right" vertical="center"/>
    </xf>
    <xf numFmtId="0" fontId="26" fillId="0" borderId="0" xfId="0" applyFont="1" applyAlignment="1">
      <alignment vertical="center" textRotation="45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Fill="1" applyBorder="1" applyAlignment="1">
      <alignment vertical="center"/>
    </xf>
    <xf numFmtId="0" fontId="44" fillId="0" borderId="0" xfId="0" applyFont="1" applyAlignment="1">
      <alignment horizontal="right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0" fontId="59" fillId="0" borderId="0" xfId="0" applyFont="1" applyBorder="1" applyAlignment="1">
      <alignment horizontal="left"/>
    </xf>
    <xf numFmtId="0" fontId="85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1" fontId="85" fillId="0" borderId="0" xfId="0" applyNumberFormat="1" applyFont="1" applyBorder="1" applyAlignment="1">
      <alignment horizontal="center"/>
    </xf>
    <xf numFmtId="0" fontId="44" fillId="0" borderId="0" xfId="0" applyFont="1" applyFill="1"/>
    <xf numFmtId="0" fontId="26" fillId="0" borderId="0" xfId="0" applyFont="1" applyBorder="1" applyAlignment="1">
      <alignment horizontal="left"/>
    </xf>
    <xf numFmtId="0" fontId="34" fillId="0" borderId="0" xfId="0" applyFont="1" applyFill="1" applyBorder="1" applyAlignment="1">
      <alignment horizontal="center"/>
    </xf>
    <xf numFmtId="1" fontId="34" fillId="0" borderId="0" xfId="0" applyNumberFormat="1" applyFont="1" applyBorder="1" applyAlignment="1">
      <alignment horizontal="center"/>
    </xf>
    <xf numFmtId="0" fontId="87" fillId="0" borderId="0" xfId="0" applyFont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right" vertical="center"/>
    </xf>
    <xf numFmtId="0" fontId="25" fillId="0" borderId="0" xfId="0" applyFont="1" applyBorder="1" applyAlignment="1">
      <alignment horizontal="right"/>
    </xf>
    <xf numFmtId="0" fontId="78" fillId="0" borderId="0" xfId="0" applyFont="1" applyFill="1" applyBorder="1" applyAlignment="1">
      <alignment horizontal="center" vertical="center"/>
    </xf>
    <xf numFmtId="0" fontId="59" fillId="0" borderId="0" xfId="0" applyFont="1"/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right"/>
    </xf>
    <xf numFmtId="2" fontId="34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52" fillId="0" borderId="0" xfId="0" applyFont="1" applyFill="1" applyBorder="1" applyAlignment="1">
      <alignment horizontal="right"/>
    </xf>
    <xf numFmtId="0" fontId="86" fillId="0" borderId="0" xfId="0" applyFont="1" applyFill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0" borderId="0" xfId="0" applyFont="1" applyAlignment="1"/>
    <xf numFmtId="0" fontId="88" fillId="0" borderId="0" xfId="0" applyFont="1" applyBorder="1" applyAlignment="1">
      <alignment horizontal="center"/>
    </xf>
    <xf numFmtId="0" fontId="81" fillId="0" borderId="0" xfId="0" applyFont="1" applyAlignment="1">
      <alignment horizontal="center"/>
    </xf>
    <xf numFmtId="0" fontId="89" fillId="2" borderId="0" xfId="0" applyFont="1" applyFill="1" applyAlignment="1">
      <alignment horizontal="center" vertical="center"/>
    </xf>
    <xf numFmtId="0" fontId="89" fillId="2" borderId="0" xfId="0" applyFont="1" applyFill="1" applyAlignment="1">
      <alignment horizontal="right" vertical="center"/>
    </xf>
    <xf numFmtId="0" fontId="94" fillId="2" borderId="0" xfId="0" applyFont="1" applyFill="1" applyAlignment="1">
      <alignment vertical="center"/>
    </xf>
    <xf numFmtId="0" fontId="32" fillId="0" borderId="0" xfId="0" applyFont="1" applyFill="1" applyBorder="1" applyAlignment="1">
      <alignment horizontal="right" vertical="center"/>
    </xf>
    <xf numFmtId="0" fontId="32" fillId="8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 textRotation="45"/>
    </xf>
    <xf numFmtId="0" fontId="11" fillId="0" borderId="0" xfId="0" applyFont="1" applyFill="1" applyBorder="1" applyAlignment="1">
      <alignment vertical="center"/>
    </xf>
    <xf numFmtId="0" fontId="89" fillId="2" borderId="0" xfId="0" applyFont="1" applyFill="1" applyAlignment="1">
      <alignment vertical="center"/>
    </xf>
    <xf numFmtId="0" fontId="90" fillId="0" borderId="0" xfId="0" applyFont="1" applyAlignment="1">
      <alignment vertical="center"/>
    </xf>
    <xf numFmtId="0" fontId="90" fillId="0" borderId="0" xfId="0" applyFont="1"/>
    <xf numFmtId="0" fontId="58" fillId="8" borderId="0" xfId="0" applyFont="1" applyFill="1" applyBorder="1" applyAlignment="1">
      <alignment horizontal="center" vertical="center"/>
    </xf>
    <xf numFmtId="0" fontId="90" fillId="0" borderId="0" xfId="0" applyFont="1" applyBorder="1" applyAlignment="1">
      <alignment vertical="center"/>
    </xf>
    <xf numFmtId="0" fontId="33" fillId="0" borderId="2" xfId="0" applyFont="1" applyFill="1" applyBorder="1" applyAlignment="1">
      <alignment horizontal="center" vertical="center"/>
    </xf>
    <xf numFmtId="0" fontId="90" fillId="0" borderId="2" xfId="0" applyFont="1" applyBorder="1" applyAlignment="1">
      <alignment vertical="center"/>
    </xf>
    <xf numFmtId="0" fontId="71" fillId="0" borderId="0" xfId="0" applyFont="1" applyBorder="1" applyAlignment="1">
      <alignment vertical="center"/>
    </xf>
    <xf numFmtId="0" fontId="25" fillId="0" borderId="0" xfId="0" applyFont="1" applyAlignment="1">
      <alignment horizontal="right"/>
    </xf>
    <xf numFmtId="0" fontId="91" fillId="0" borderId="0" xfId="0" applyFont="1" applyAlignment="1">
      <alignment horizontal="left"/>
    </xf>
    <xf numFmtId="0" fontId="92" fillId="0" borderId="0" xfId="0" applyFont="1"/>
    <xf numFmtId="0" fontId="90" fillId="0" borderId="5" xfId="0" applyFont="1" applyBorder="1" applyAlignment="1">
      <alignment vertical="center"/>
    </xf>
    <xf numFmtId="0" fontId="93" fillId="0" borderId="0" xfId="0" applyFont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90" fillId="0" borderId="4" xfId="0" applyFont="1" applyBorder="1"/>
    <xf numFmtId="0" fontId="25" fillId="0" borderId="4" xfId="0" applyFont="1" applyBorder="1" applyAlignment="1">
      <alignment horizontal="right"/>
    </xf>
    <xf numFmtId="0" fontId="90" fillId="0" borderId="5" xfId="0" applyFont="1" applyBorder="1"/>
    <xf numFmtId="0" fontId="90" fillId="0" borderId="0" xfId="0" applyFont="1" applyBorder="1"/>
    <xf numFmtId="0" fontId="94" fillId="2" borderId="0" xfId="0" applyFont="1" applyFill="1" applyAlignment="1">
      <alignment horizontal="center" vertical="center"/>
    </xf>
    <xf numFmtId="0" fontId="94" fillId="2" borderId="0" xfId="0" applyFont="1" applyFill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26" fillId="0" borderId="4" xfId="0" applyFont="1" applyBorder="1"/>
    <xf numFmtId="0" fontId="29" fillId="0" borderId="5" xfId="0" applyFont="1" applyFill="1" applyBorder="1" applyAlignment="1">
      <alignment vertical="center"/>
    </xf>
    <xf numFmtId="2" fontId="26" fillId="0" borderId="0" xfId="0" applyNumberFormat="1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0" fontId="32" fillId="4" borderId="15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2" fontId="26" fillId="0" borderId="8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53" fillId="0" borderId="0" xfId="0" applyFont="1" applyFill="1" applyBorder="1" applyAlignment="1">
      <alignment vertical="center"/>
    </xf>
    <xf numFmtId="0" fontId="98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center"/>
    </xf>
    <xf numFmtId="0" fontId="99" fillId="0" borderId="15" xfId="0" applyFont="1" applyFill="1" applyBorder="1" applyAlignment="1">
      <alignment horizontal="center" vertical="center"/>
    </xf>
    <xf numFmtId="0" fontId="100" fillId="0" borderId="15" xfId="0" applyFont="1" applyFill="1" applyBorder="1" applyAlignment="1">
      <alignment horizontal="center" vertical="center"/>
    </xf>
    <xf numFmtId="2" fontId="99" fillId="0" borderId="15" xfId="0" applyNumberFormat="1" applyFont="1" applyFill="1" applyBorder="1" applyAlignment="1">
      <alignment horizontal="center" vertical="center"/>
    </xf>
    <xf numFmtId="0" fontId="98" fillId="0" borderId="15" xfId="0" applyFont="1" applyBorder="1" applyAlignment="1">
      <alignment horizontal="center" vertical="center"/>
    </xf>
    <xf numFmtId="2" fontId="33" fillId="0" borderId="0" xfId="0" applyNumberFormat="1" applyFont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 applyProtection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horizontal="center" vertical="center"/>
      <protection locked="0"/>
    </xf>
    <xf numFmtId="0" fontId="33" fillId="0" borderId="15" xfId="0" applyFont="1" applyBorder="1" applyAlignment="1" applyProtection="1">
      <alignment horizontal="center" vertical="center"/>
      <protection locked="0"/>
    </xf>
    <xf numFmtId="2" fontId="32" fillId="0" borderId="18" xfId="0" applyNumberFormat="1" applyFont="1" applyBorder="1" applyAlignment="1">
      <alignment horizontal="center" vertical="center"/>
    </xf>
    <xf numFmtId="2" fontId="32" fillId="0" borderId="19" xfId="0" applyNumberFormat="1" applyFont="1" applyBorder="1" applyAlignment="1">
      <alignment horizontal="center" vertical="center"/>
    </xf>
    <xf numFmtId="1" fontId="26" fillId="0" borderId="4" xfId="0" applyNumberFormat="1" applyFont="1" applyBorder="1" applyAlignment="1">
      <alignment horizontal="left" vertical="center"/>
    </xf>
    <xf numFmtId="0" fontId="101" fillId="0" borderId="0" xfId="0" applyFont="1" applyBorder="1"/>
    <xf numFmtId="0" fontId="101" fillId="0" borderId="0" xfId="0" applyFont="1" applyFill="1" applyBorder="1" applyAlignment="1">
      <alignment horizontal="center"/>
    </xf>
    <xf numFmtId="0" fontId="101" fillId="0" borderId="0" xfId="0" applyFont="1" applyFill="1" applyBorder="1"/>
    <xf numFmtId="0" fontId="102" fillId="0" borderId="0" xfId="0" applyFont="1"/>
    <xf numFmtId="0" fontId="101" fillId="0" borderId="0" xfId="0" applyFont="1" applyFill="1" applyBorder="1" applyAlignment="1">
      <alignment horizontal="right"/>
    </xf>
    <xf numFmtId="22" fontId="103" fillId="0" borderId="0" xfId="0" applyNumberFormat="1" applyFont="1" applyBorder="1" applyAlignment="1">
      <alignment horizontal="center"/>
    </xf>
    <xf numFmtId="0" fontId="101" fillId="0" borderId="7" xfId="0" applyFont="1" applyFill="1" applyBorder="1" applyAlignment="1">
      <alignment horizontal="right"/>
    </xf>
    <xf numFmtId="0" fontId="104" fillId="0" borderId="2" xfId="0" applyFont="1" applyFill="1" applyBorder="1" applyAlignment="1">
      <alignment horizontal="center"/>
    </xf>
    <xf numFmtId="0" fontId="101" fillId="0" borderId="2" xfId="0" applyFont="1" applyFill="1" applyBorder="1" applyAlignment="1">
      <alignment horizontal="left"/>
    </xf>
    <xf numFmtId="0" fontId="101" fillId="0" borderId="2" xfId="0" applyFont="1" applyFill="1" applyBorder="1"/>
    <xf numFmtId="0" fontId="101" fillId="0" borderId="3" xfId="0" applyFont="1" applyFill="1" applyBorder="1"/>
    <xf numFmtId="0" fontId="105" fillId="0" borderId="4" xfId="0" applyFont="1" applyFill="1" applyBorder="1" applyAlignment="1">
      <alignment horizontal="left"/>
    </xf>
    <xf numFmtId="0" fontId="104" fillId="0" borderId="0" xfId="0" applyFont="1" applyFill="1" applyBorder="1" applyAlignment="1">
      <alignment horizontal="center"/>
    </xf>
    <xf numFmtId="0" fontId="101" fillId="0" borderId="0" xfId="0" applyFont="1" applyFill="1" applyBorder="1" applyAlignment="1">
      <alignment horizontal="left"/>
    </xf>
    <xf numFmtId="0" fontId="101" fillId="0" borderId="5" xfId="0" applyFont="1" applyFill="1" applyBorder="1"/>
    <xf numFmtId="0" fontId="101" fillId="0" borderId="4" xfId="0" applyFont="1" applyBorder="1"/>
    <xf numFmtId="0" fontId="101" fillId="0" borderId="4" xfId="0" applyFont="1" applyFill="1" applyBorder="1"/>
    <xf numFmtId="0" fontId="101" fillId="0" borderId="9" xfId="0" applyFont="1" applyBorder="1"/>
    <xf numFmtId="0" fontId="101" fillId="0" borderId="8" xfId="0" applyFont="1" applyBorder="1"/>
    <xf numFmtId="0" fontId="101" fillId="0" borderId="10" xfId="0" applyFont="1" applyBorder="1"/>
    <xf numFmtId="0" fontId="101" fillId="0" borderId="0" xfId="0" applyFont="1"/>
    <xf numFmtId="0" fontId="106" fillId="0" borderId="0" xfId="0" applyFont="1" applyAlignment="1">
      <alignment horizontal="right"/>
    </xf>
    <xf numFmtId="0" fontId="107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28" fillId="0" borderId="0" xfId="0" applyFont="1" applyFill="1" applyBorder="1"/>
    <xf numFmtId="0" fontId="11" fillId="0" borderId="0" xfId="0" applyFont="1" applyBorder="1"/>
    <xf numFmtId="0" fontId="10" fillId="0" borderId="4" xfId="0" applyFont="1" applyFill="1" applyBorder="1" applyAlignment="1">
      <alignment horizontal="center" vertical="center"/>
    </xf>
    <xf numFmtId="0" fontId="95" fillId="0" borderId="0" xfId="0" applyFont="1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3" fillId="0" borderId="4" xfId="0" applyFont="1" applyFill="1" applyBorder="1" applyAlignment="1">
      <alignment horizontal="right"/>
    </xf>
    <xf numFmtId="0" fontId="25" fillId="0" borderId="4" xfId="0" applyFont="1" applyFill="1" applyBorder="1"/>
    <xf numFmtId="0" fontId="59" fillId="0" borderId="0" xfId="0" applyFont="1" applyFill="1" applyBorder="1" applyAlignment="1">
      <alignment horizontal="center"/>
    </xf>
    <xf numFmtId="0" fontId="78" fillId="0" borderId="0" xfId="0" applyFont="1" applyFill="1" applyBorder="1" applyAlignment="1">
      <alignment horizontal="left"/>
    </xf>
    <xf numFmtId="2" fontId="59" fillId="0" borderId="0" xfId="0" applyNumberFormat="1" applyFont="1" applyFill="1" applyBorder="1" applyAlignment="1">
      <alignment horizontal="center"/>
    </xf>
    <xf numFmtId="0" fontId="25" fillId="0" borderId="4" xfId="0" applyFont="1" applyBorder="1"/>
    <xf numFmtId="0" fontId="25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2" fontId="23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0" fontId="81" fillId="0" borderId="0" xfId="0" applyFont="1" applyFill="1" applyBorder="1" applyAlignment="1">
      <alignment horizontal="center"/>
    </xf>
    <xf numFmtId="165" fontId="59" fillId="0" borderId="0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5" xfId="0" applyFont="1" applyFill="1" applyBorder="1"/>
    <xf numFmtId="0" fontId="10" fillId="0" borderId="0" xfId="0" applyFont="1" applyBorder="1"/>
    <xf numFmtId="0" fontId="105" fillId="0" borderId="5" xfId="0" applyFont="1" applyBorder="1"/>
    <xf numFmtId="0" fontId="33" fillId="0" borderId="0" xfId="0" applyFont="1" applyBorder="1" applyAlignment="1">
      <alignment horizontal="center" vertical="center"/>
    </xf>
    <xf numFmtId="0" fontId="109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3" fillId="0" borderId="0" xfId="0" applyFont="1" applyFill="1" applyBorder="1" applyAlignment="1" applyProtection="1">
      <alignment vertical="center"/>
      <protection locked="0"/>
    </xf>
    <xf numFmtId="0" fontId="111" fillId="0" borderId="0" xfId="0" applyFont="1" applyBorder="1" applyAlignment="1">
      <alignment horizontal="left" vertical="center"/>
    </xf>
    <xf numFmtId="0" fontId="112" fillId="0" borderId="0" xfId="0" applyFont="1" applyBorder="1" applyAlignment="1">
      <alignment horizontal="center" vertical="center"/>
    </xf>
    <xf numFmtId="0" fontId="3" fillId="0" borderId="0" xfId="0" applyFont="1" applyBorder="1"/>
    <xf numFmtId="0" fontId="11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/>
    </xf>
    <xf numFmtId="0" fontId="72" fillId="11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justify"/>
    </xf>
    <xf numFmtId="0" fontId="25" fillId="0" borderId="0" xfId="0" applyFont="1" applyFill="1" applyBorder="1" applyAlignment="1">
      <alignment horizontal="center" vertical="justify"/>
    </xf>
    <xf numFmtId="0" fontId="52" fillId="11" borderId="0" xfId="0" applyFont="1" applyFill="1" applyBorder="1" applyAlignment="1">
      <alignment horizontal="center" vertical="center"/>
    </xf>
  </cellXfs>
  <cellStyles count="5">
    <cellStyle name="0" xfId="1"/>
    <cellStyle name="0.00" xfId="2"/>
    <cellStyle name="00" xfId="3"/>
    <cellStyle name="000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266700</xdr:colOff>
      <xdr:row>25</xdr:row>
      <xdr:rowOff>57150</xdr:rowOff>
    </xdr:from>
    <xdr:to>
      <xdr:col>12</xdr:col>
      <xdr:colOff>390525</xdr:colOff>
      <xdr:row>30</xdr:row>
      <xdr:rowOff>114300</xdr:rowOff>
    </xdr:to>
    <xdr:pic>
      <xdr:nvPicPr>
        <xdr:cNvPr id="2912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19550" y="5191125"/>
          <a:ext cx="20478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9</xdr:col>
      <xdr:colOff>38100</xdr:colOff>
      <xdr:row>18</xdr:row>
      <xdr:rowOff>47625</xdr:rowOff>
    </xdr:from>
    <xdr:to>
      <xdr:col>12</xdr:col>
      <xdr:colOff>342900</xdr:colOff>
      <xdr:row>23</xdr:row>
      <xdr:rowOff>180975</xdr:rowOff>
    </xdr:to>
    <xdr:pic>
      <xdr:nvPicPr>
        <xdr:cNvPr id="2912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38625" y="3857625"/>
          <a:ext cx="17811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8</xdr:col>
      <xdr:colOff>161925</xdr:colOff>
      <xdr:row>30</xdr:row>
      <xdr:rowOff>28575</xdr:rowOff>
    </xdr:from>
    <xdr:to>
      <xdr:col>11</xdr:col>
      <xdr:colOff>504825</xdr:colOff>
      <xdr:row>35</xdr:row>
      <xdr:rowOff>38100</xdr:rowOff>
    </xdr:to>
    <xdr:pic>
      <xdr:nvPicPr>
        <xdr:cNvPr id="2912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14775" y="6162675"/>
          <a:ext cx="17526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8</xdr:col>
      <xdr:colOff>228600</xdr:colOff>
      <xdr:row>21</xdr:row>
      <xdr:rowOff>152400</xdr:rowOff>
    </xdr:from>
    <xdr:to>
      <xdr:col>11</xdr:col>
      <xdr:colOff>409575</xdr:colOff>
      <xdr:row>27</xdr:row>
      <xdr:rowOff>0</xdr:rowOff>
    </xdr:to>
    <xdr:pic>
      <xdr:nvPicPr>
        <xdr:cNvPr id="29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981450" y="4524375"/>
          <a:ext cx="15906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30</xdr:row>
      <xdr:rowOff>57150</xdr:rowOff>
    </xdr:from>
    <xdr:to>
      <xdr:col>13</xdr:col>
      <xdr:colOff>47625</xdr:colOff>
      <xdr:row>37</xdr:row>
      <xdr:rowOff>200025</xdr:rowOff>
    </xdr:to>
    <xdr:pic>
      <xdr:nvPicPr>
        <xdr:cNvPr id="182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71975" y="6134100"/>
          <a:ext cx="2200275" cy="147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114300</xdr:colOff>
      <xdr:row>25</xdr:row>
      <xdr:rowOff>0</xdr:rowOff>
    </xdr:from>
    <xdr:to>
      <xdr:col>13</xdr:col>
      <xdr:colOff>257175</xdr:colOff>
      <xdr:row>32</xdr:row>
      <xdr:rowOff>104775</xdr:rowOff>
    </xdr:to>
    <xdr:pic>
      <xdr:nvPicPr>
        <xdr:cNvPr id="182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81525" y="5114925"/>
          <a:ext cx="220027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200025</xdr:colOff>
      <xdr:row>6</xdr:row>
      <xdr:rowOff>0</xdr:rowOff>
    </xdr:from>
    <xdr:to>
      <xdr:col>13</xdr:col>
      <xdr:colOff>9525</xdr:colOff>
      <xdr:row>15</xdr:row>
      <xdr:rowOff>152400</xdr:rowOff>
    </xdr:to>
    <xdr:pic>
      <xdr:nvPicPr>
        <xdr:cNvPr id="2519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7425" y="1485900"/>
          <a:ext cx="4533900" cy="2381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3</xdr:col>
      <xdr:colOff>295275</xdr:colOff>
      <xdr:row>18</xdr:row>
      <xdr:rowOff>0</xdr:rowOff>
    </xdr:from>
    <xdr:to>
      <xdr:col>12</xdr:col>
      <xdr:colOff>304800</xdr:colOff>
      <xdr:row>27</xdr:row>
      <xdr:rowOff>209550</xdr:rowOff>
    </xdr:to>
    <xdr:pic>
      <xdr:nvPicPr>
        <xdr:cNvPr id="2519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38325" y="4457700"/>
          <a:ext cx="4638675" cy="2438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6"/>
  <sheetViews>
    <sheetView topLeftCell="A22" zoomScaleNormal="100" workbookViewId="0">
      <selection activeCell="L54" sqref="L54"/>
    </sheetView>
  </sheetViews>
  <sheetFormatPr defaultRowHeight="12.75"/>
  <cols>
    <col min="1" max="1" width="8.5703125" customWidth="1"/>
    <col min="2" max="2" width="8.28515625" customWidth="1"/>
    <col min="3" max="3" width="7.85546875" customWidth="1"/>
    <col min="4" max="4" width="6.7109375" customWidth="1"/>
    <col min="5" max="5" width="6.85546875" customWidth="1"/>
    <col min="6" max="6" width="6.140625" customWidth="1"/>
    <col min="7" max="7" width="7.28515625" customWidth="1"/>
    <col min="8" max="8" width="7.85546875" customWidth="1"/>
    <col min="9" max="9" width="6.85546875" customWidth="1"/>
    <col min="10" max="10" width="8.5703125" customWidth="1"/>
    <col min="11" max="11" width="7.85546875" customWidth="1"/>
    <col min="12" max="12" width="7" customWidth="1"/>
    <col min="13" max="13" width="6" customWidth="1"/>
    <col min="14" max="14" width="5.42578125" customWidth="1"/>
  </cols>
  <sheetData>
    <row r="1" spans="1:21" ht="35.25">
      <c r="A1" s="192"/>
      <c r="B1" s="28"/>
      <c r="C1" s="28"/>
      <c r="D1" s="416"/>
      <c r="E1" s="417" t="s">
        <v>19</v>
      </c>
      <c r="F1" s="416"/>
      <c r="G1" s="416"/>
      <c r="H1" s="417" t="s">
        <v>20</v>
      </c>
      <c r="I1" s="416"/>
      <c r="J1" s="424" t="s">
        <v>155</v>
      </c>
      <c r="K1" s="416"/>
      <c r="L1" s="28"/>
      <c r="M1" s="28"/>
      <c r="N1" s="28"/>
      <c r="O1" s="12"/>
      <c r="P1" s="12"/>
      <c r="Q1" s="36"/>
      <c r="R1" s="27"/>
      <c r="S1" s="27"/>
      <c r="T1" s="27"/>
      <c r="U1" s="33"/>
    </row>
    <row r="2" spans="1:21" ht="15.75">
      <c r="A2" s="48" t="s">
        <v>177</v>
      </c>
      <c r="B2" s="124" t="s">
        <v>22</v>
      </c>
      <c r="C2" s="124" t="s">
        <v>13</v>
      </c>
      <c r="D2" s="124" t="s">
        <v>14</v>
      </c>
      <c r="E2" s="124" t="s">
        <v>86</v>
      </c>
      <c r="F2" s="124" t="s">
        <v>15</v>
      </c>
      <c r="G2" s="124" t="s">
        <v>16</v>
      </c>
      <c r="H2" s="124" t="s">
        <v>17</v>
      </c>
      <c r="I2" s="124" t="s">
        <v>0</v>
      </c>
      <c r="J2" s="124" t="s">
        <v>18</v>
      </c>
      <c r="K2" s="124" t="s">
        <v>126</v>
      </c>
      <c r="L2" s="124" t="s">
        <v>127</v>
      </c>
      <c r="M2" s="124" t="s">
        <v>130</v>
      </c>
      <c r="N2" s="124" t="s">
        <v>133</v>
      </c>
      <c r="O2" s="26"/>
      <c r="P2" s="425"/>
      <c r="Q2" s="425"/>
      <c r="R2" s="27"/>
      <c r="S2" s="27"/>
      <c r="T2" s="27"/>
      <c r="U2" s="33"/>
    </row>
    <row r="3" spans="1:21" ht="15">
      <c r="A3" s="30">
        <v>1</v>
      </c>
      <c r="B3" s="29" t="s">
        <v>6</v>
      </c>
      <c r="C3" s="29">
        <v>8</v>
      </c>
      <c r="D3" s="29">
        <v>4.5999999999999996</v>
      </c>
      <c r="E3" s="29">
        <v>0.38</v>
      </c>
      <c r="F3" s="29">
        <v>0.52</v>
      </c>
      <c r="G3" s="29">
        <v>0.5</v>
      </c>
      <c r="H3" s="29">
        <v>5.9</v>
      </c>
      <c r="I3" s="29">
        <v>7.64</v>
      </c>
      <c r="J3" s="29">
        <v>6</v>
      </c>
      <c r="K3" s="29">
        <v>80.099999999999994</v>
      </c>
      <c r="L3" s="29">
        <v>20</v>
      </c>
      <c r="M3" s="29">
        <v>8.49</v>
      </c>
      <c r="N3" s="29">
        <v>3.69</v>
      </c>
      <c r="O3" s="26"/>
      <c r="P3" s="136">
        <v>1</v>
      </c>
      <c r="Q3" s="31">
        <v>80</v>
      </c>
      <c r="R3" s="426"/>
      <c r="S3" s="426"/>
      <c r="T3" s="27"/>
      <c r="U3" s="33"/>
    </row>
    <row r="4" spans="1:21" ht="15">
      <c r="A4" s="30">
        <v>2</v>
      </c>
      <c r="B4" s="32" t="s">
        <v>4</v>
      </c>
      <c r="C4" s="32">
        <v>10</v>
      </c>
      <c r="D4" s="32">
        <v>5.5</v>
      </c>
      <c r="E4" s="32">
        <v>0.41</v>
      </c>
      <c r="F4" s="32">
        <v>0.56999999999999995</v>
      </c>
      <c r="G4" s="32">
        <v>0.7</v>
      </c>
      <c r="H4" s="32">
        <v>7.4</v>
      </c>
      <c r="I4" s="32">
        <v>10.3</v>
      </c>
      <c r="J4" s="32">
        <v>8.1</v>
      </c>
      <c r="K4" s="32">
        <v>171</v>
      </c>
      <c r="L4" s="32">
        <v>34.200000000000003</v>
      </c>
      <c r="M4" s="32">
        <v>15.9</v>
      </c>
      <c r="N4" s="32">
        <v>5.79</v>
      </c>
      <c r="O4" s="26"/>
      <c r="P4" s="136">
        <v>2</v>
      </c>
      <c r="Q4" s="31">
        <v>100</v>
      </c>
      <c r="R4" s="426"/>
      <c r="S4" s="426"/>
      <c r="T4" s="27"/>
      <c r="U4" s="33"/>
    </row>
    <row r="5" spans="1:21" ht="15">
      <c r="A5" s="30">
        <v>3</v>
      </c>
      <c r="B5" s="29" t="s">
        <v>5</v>
      </c>
      <c r="C5" s="29">
        <v>12</v>
      </c>
      <c r="D5" s="29">
        <v>6.4</v>
      </c>
      <c r="E5" s="29">
        <v>0.44</v>
      </c>
      <c r="F5" s="29">
        <v>0.63</v>
      </c>
      <c r="G5" s="29">
        <v>0.7</v>
      </c>
      <c r="H5" s="29">
        <v>9.3000000000000007</v>
      </c>
      <c r="I5" s="29">
        <v>13.2</v>
      </c>
      <c r="J5" s="29">
        <v>10.4</v>
      </c>
      <c r="K5" s="29">
        <v>318</v>
      </c>
      <c r="L5" s="29">
        <v>53</v>
      </c>
      <c r="M5" s="29">
        <v>27.7</v>
      </c>
      <c r="N5" s="29">
        <v>8.65</v>
      </c>
      <c r="O5" s="26"/>
      <c r="P5" s="136">
        <v>3</v>
      </c>
      <c r="Q5" s="31">
        <v>120</v>
      </c>
      <c r="R5" s="426"/>
      <c r="S5" s="426"/>
      <c r="T5" s="27"/>
      <c r="U5" s="33"/>
    </row>
    <row r="6" spans="1:21" ht="15">
      <c r="A6" s="30">
        <v>4</v>
      </c>
      <c r="B6" s="32" t="s">
        <v>23</v>
      </c>
      <c r="C6" s="32">
        <v>14</v>
      </c>
      <c r="D6" s="32">
        <v>7.3</v>
      </c>
      <c r="E6" s="32">
        <v>0.47</v>
      </c>
      <c r="F6" s="32">
        <v>0.69</v>
      </c>
      <c r="G6" s="32">
        <v>0.7</v>
      </c>
      <c r="H6" s="32">
        <v>11.2</v>
      </c>
      <c r="I6" s="32">
        <v>16.399999999999999</v>
      </c>
      <c r="J6" s="32">
        <v>12.9</v>
      </c>
      <c r="K6" s="32">
        <v>541</v>
      </c>
      <c r="L6" s="32">
        <v>77.3</v>
      </c>
      <c r="M6" s="32">
        <v>44.9</v>
      </c>
      <c r="N6" s="32">
        <v>12.3</v>
      </c>
      <c r="O6" s="26"/>
      <c r="P6" s="136">
        <v>4</v>
      </c>
      <c r="Q6" s="31">
        <v>140</v>
      </c>
      <c r="R6" s="426"/>
      <c r="S6" s="426"/>
      <c r="T6" s="27"/>
      <c r="U6" s="33"/>
    </row>
    <row r="7" spans="1:21" ht="15">
      <c r="A7" s="30">
        <v>5</v>
      </c>
      <c r="B7" s="29" t="s">
        <v>1</v>
      </c>
      <c r="C7" s="29">
        <v>16</v>
      </c>
      <c r="D7" s="29">
        <v>8.1999999999999993</v>
      </c>
      <c r="E7" s="29">
        <v>0.5</v>
      </c>
      <c r="F7" s="29">
        <v>0.74</v>
      </c>
      <c r="G7" s="29">
        <v>0.9</v>
      </c>
      <c r="H7" s="29">
        <v>12.7</v>
      </c>
      <c r="I7" s="29">
        <v>20.100000000000001</v>
      </c>
      <c r="J7" s="29">
        <v>15.8</v>
      </c>
      <c r="K7" s="29">
        <v>869</v>
      </c>
      <c r="L7" s="29">
        <v>109</v>
      </c>
      <c r="M7" s="29">
        <v>68.3</v>
      </c>
      <c r="N7" s="29">
        <v>16.7</v>
      </c>
      <c r="O7" s="26"/>
      <c r="P7" s="136">
        <v>5</v>
      </c>
      <c r="Q7" s="31">
        <v>160</v>
      </c>
      <c r="R7" s="426"/>
      <c r="S7" s="426"/>
      <c r="T7" s="27"/>
      <c r="U7" s="33"/>
    </row>
    <row r="8" spans="1:21" ht="15">
      <c r="A8" s="30">
        <v>6</v>
      </c>
      <c r="B8" s="32" t="s">
        <v>2</v>
      </c>
      <c r="C8" s="32">
        <v>18</v>
      </c>
      <c r="D8" s="32">
        <v>9.1</v>
      </c>
      <c r="E8" s="32">
        <v>0.53</v>
      </c>
      <c r="F8" s="32">
        <v>0.8</v>
      </c>
      <c r="G8" s="32">
        <v>0.9</v>
      </c>
      <c r="H8" s="32">
        <v>14.6</v>
      </c>
      <c r="I8" s="32">
        <v>23.9</v>
      </c>
      <c r="J8" s="32">
        <v>18.8</v>
      </c>
      <c r="K8" s="32">
        <v>1320</v>
      </c>
      <c r="L8" s="32">
        <v>146</v>
      </c>
      <c r="M8" s="32">
        <v>101</v>
      </c>
      <c r="N8" s="32">
        <v>22.2</v>
      </c>
      <c r="O8" s="26"/>
      <c r="P8" s="136">
        <v>6</v>
      </c>
      <c r="Q8" s="31">
        <v>180</v>
      </c>
      <c r="R8" s="426"/>
      <c r="S8" s="426"/>
      <c r="T8" s="27"/>
      <c r="U8" s="33"/>
    </row>
    <row r="9" spans="1:21" ht="15">
      <c r="A9" s="30">
        <v>7</v>
      </c>
      <c r="B9" s="29" t="s">
        <v>3</v>
      </c>
      <c r="C9" s="29">
        <v>20</v>
      </c>
      <c r="D9" s="29">
        <v>10</v>
      </c>
      <c r="E9" s="29">
        <v>0.56000000000000005</v>
      </c>
      <c r="F9" s="29">
        <v>0.85</v>
      </c>
      <c r="G9" s="29">
        <v>1.2</v>
      </c>
      <c r="H9" s="29">
        <v>15.9</v>
      </c>
      <c r="I9" s="29">
        <v>28.5</v>
      </c>
      <c r="J9" s="29">
        <v>22.4</v>
      </c>
      <c r="K9" s="29">
        <v>1940</v>
      </c>
      <c r="L9" s="29">
        <v>194</v>
      </c>
      <c r="M9" s="29">
        <v>142</v>
      </c>
      <c r="N9" s="29">
        <v>28.5</v>
      </c>
      <c r="O9" s="26"/>
      <c r="P9" s="136">
        <v>7</v>
      </c>
      <c r="Q9" s="31">
        <v>200</v>
      </c>
      <c r="R9" s="426"/>
      <c r="S9" s="426"/>
      <c r="T9" s="27"/>
      <c r="U9" s="34"/>
    </row>
    <row r="10" spans="1:21" ht="15">
      <c r="A10" s="30">
        <v>8</v>
      </c>
      <c r="B10" s="32" t="s">
        <v>7</v>
      </c>
      <c r="C10" s="32">
        <v>22</v>
      </c>
      <c r="D10" s="32">
        <v>11</v>
      </c>
      <c r="E10" s="32">
        <v>0.59</v>
      </c>
      <c r="F10" s="32">
        <v>0.92</v>
      </c>
      <c r="G10" s="32">
        <v>1.2</v>
      </c>
      <c r="H10" s="32">
        <v>17.7</v>
      </c>
      <c r="I10" s="32">
        <v>33.4</v>
      </c>
      <c r="J10" s="32">
        <v>26.2</v>
      </c>
      <c r="K10" s="32">
        <v>2770</v>
      </c>
      <c r="L10" s="32">
        <v>252</v>
      </c>
      <c r="M10" s="32">
        <v>205</v>
      </c>
      <c r="N10" s="32">
        <v>37.299999999999997</v>
      </c>
      <c r="O10" s="26"/>
      <c r="P10" s="136">
        <v>8</v>
      </c>
      <c r="Q10" s="31">
        <v>220</v>
      </c>
      <c r="R10" s="426"/>
      <c r="S10" s="426"/>
      <c r="T10" s="27"/>
      <c r="U10" s="33"/>
    </row>
    <row r="11" spans="1:21" ht="15">
      <c r="A11" s="30">
        <v>9</v>
      </c>
      <c r="B11" s="29" t="s">
        <v>8</v>
      </c>
      <c r="C11" s="29">
        <v>24</v>
      </c>
      <c r="D11" s="29">
        <v>12</v>
      </c>
      <c r="E11" s="29">
        <v>0.62</v>
      </c>
      <c r="F11" s="29">
        <v>0.98</v>
      </c>
      <c r="G11" s="29">
        <v>1.5</v>
      </c>
      <c r="H11" s="29">
        <v>19</v>
      </c>
      <c r="I11" s="29">
        <v>39.1</v>
      </c>
      <c r="J11" s="29">
        <v>30.7</v>
      </c>
      <c r="K11" s="29">
        <v>3890</v>
      </c>
      <c r="L11" s="29">
        <v>324</v>
      </c>
      <c r="M11" s="29">
        <v>284</v>
      </c>
      <c r="N11" s="29">
        <v>47.3</v>
      </c>
      <c r="O11" s="26"/>
      <c r="P11" s="136">
        <v>9</v>
      </c>
      <c r="Q11" s="31">
        <v>240</v>
      </c>
      <c r="R11" s="426"/>
      <c r="S11" s="426"/>
      <c r="T11" s="27"/>
      <c r="U11" s="33"/>
    </row>
    <row r="12" spans="1:21" ht="15">
      <c r="A12" s="30">
        <v>10</v>
      </c>
      <c r="B12" s="32" t="s">
        <v>9</v>
      </c>
      <c r="C12" s="32">
        <v>27</v>
      </c>
      <c r="D12" s="32">
        <v>13.5</v>
      </c>
      <c r="E12" s="32">
        <v>0.66</v>
      </c>
      <c r="F12" s="32">
        <v>1.02</v>
      </c>
      <c r="G12" s="32">
        <v>1.5</v>
      </c>
      <c r="H12" s="32">
        <v>21.9</v>
      </c>
      <c r="I12" s="32">
        <v>45.9</v>
      </c>
      <c r="J12" s="32">
        <v>36.1</v>
      </c>
      <c r="K12" s="32">
        <v>5790</v>
      </c>
      <c r="L12" s="32">
        <v>429</v>
      </c>
      <c r="M12" s="32">
        <v>420</v>
      </c>
      <c r="N12" s="32">
        <v>62.2</v>
      </c>
      <c r="O12" s="26"/>
      <c r="P12" s="136">
        <v>10</v>
      </c>
      <c r="Q12" s="31">
        <v>270</v>
      </c>
      <c r="R12" s="426"/>
      <c r="S12" s="426"/>
      <c r="T12" s="27"/>
      <c r="U12" s="33"/>
    </row>
    <row r="13" spans="1:21" ht="15">
      <c r="A13" s="30">
        <v>11</v>
      </c>
      <c r="B13" s="29" t="s">
        <v>10</v>
      </c>
      <c r="C13" s="29">
        <v>30</v>
      </c>
      <c r="D13" s="29">
        <v>15</v>
      </c>
      <c r="E13" s="29">
        <v>0.71</v>
      </c>
      <c r="F13" s="29">
        <v>1.07</v>
      </c>
      <c r="G13" s="29">
        <v>1.5</v>
      </c>
      <c r="H13" s="29">
        <v>24.8</v>
      </c>
      <c r="I13" s="29">
        <v>53.8</v>
      </c>
      <c r="J13" s="29">
        <v>42.2</v>
      </c>
      <c r="K13" s="29">
        <v>8360</v>
      </c>
      <c r="L13" s="29">
        <v>557</v>
      </c>
      <c r="M13" s="29">
        <v>604</v>
      </c>
      <c r="N13" s="29">
        <v>80.5</v>
      </c>
      <c r="O13" s="26"/>
      <c r="P13" s="136">
        <v>11</v>
      </c>
      <c r="Q13" s="31">
        <v>300</v>
      </c>
      <c r="R13" s="426"/>
      <c r="S13" s="426"/>
      <c r="T13" s="27"/>
      <c r="U13" s="33"/>
    </row>
    <row r="14" spans="1:21" ht="15">
      <c r="A14" s="30">
        <v>12</v>
      </c>
      <c r="B14" s="32" t="s">
        <v>11</v>
      </c>
      <c r="C14" s="32">
        <v>33</v>
      </c>
      <c r="D14" s="32">
        <v>16</v>
      </c>
      <c r="E14" s="32">
        <v>0.75</v>
      </c>
      <c r="F14" s="32">
        <v>1.1499999999999999</v>
      </c>
      <c r="G14" s="32">
        <v>1.8</v>
      </c>
      <c r="H14" s="32">
        <v>27.1</v>
      </c>
      <c r="I14" s="32">
        <v>62.6</v>
      </c>
      <c r="J14" s="32">
        <v>49.1</v>
      </c>
      <c r="K14" s="32">
        <v>11770</v>
      </c>
      <c r="L14" s="32">
        <v>713</v>
      </c>
      <c r="M14" s="32">
        <v>788</v>
      </c>
      <c r="N14" s="32">
        <v>98.5</v>
      </c>
      <c r="O14" s="26"/>
      <c r="P14" s="136">
        <v>12</v>
      </c>
      <c r="Q14" s="31">
        <v>330</v>
      </c>
      <c r="R14" s="426"/>
      <c r="S14" s="426"/>
      <c r="T14" s="27"/>
      <c r="U14" s="33"/>
    </row>
    <row r="15" spans="1:21" ht="15">
      <c r="A15" s="30">
        <v>13</v>
      </c>
      <c r="B15" s="29" t="s">
        <v>12</v>
      </c>
      <c r="C15" s="29">
        <v>36</v>
      </c>
      <c r="D15" s="29">
        <v>17</v>
      </c>
      <c r="E15" s="29">
        <v>0.8</v>
      </c>
      <c r="F15" s="29">
        <v>1.27</v>
      </c>
      <c r="G15" s="29">
        <v>1.8</v>
      </c>
      <c r="H15" s="29">
        <v>29.8</v>
      </c>
      <c r="I15" s="29">
        <v>72.7</v>
      </c>
      <c r="J15" s="29">
        <v>57.1</v>
      </c>
      <c r="K15" s="29">
        <v>16270</v>
      </c>
      <c r="L15" s="29">
        <v>904</v>
      </c>
      <c r="M15" s="29">
        <v>1040</v>
      </c>
      <c r="N15" s="29">
        <v>123</v>
      </c>
      <c r="O15" s="26"/>
      <c r="P15" s="136">
        <v>13</v>
      </c>
      <c r="Q15" s="31">
        <v>360</v>
      </c>
      <c r="R15" s="426"/>
      <c r="S15" s="426"/>
      <c r="T15" s="27"/>
      <c r="U15" s="33"/>
    </row>
    <row r="16" spans="1:21" ht="12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93"/>
      <c r="Q16" s="36"/>
      <c r="R16" s="426"/>
      <c r="S16" s="426"/>
      <c r="T16" s="27"/>
      <c r="U16" s="33"/>
    </row>
    <row r="17" spans="1:23" ht="18.75">
      <c r="A17" s="194"/>
      <c r="B17" s="24" t="s">
        <v>39</v>
      </c>
      <c r="C17" s="20"/>
      <c r="D17" s="23"/>
      <c r="E17" s="44">
        <v>2</v>
      </c>
      <c r="F17" s="125" t="s">
        <v>177</v>
      </c>
      <c r="G17" s="427">
        <v>5</v>
      </c>
      <c r="H17" s="195"/>
      <c r="I17" s="195" t="s">
        <v>178</v>
      </c>
      <c r="J17" s="428"/>
      <c r="K17" s="23"/>
      <c r="L17" s="23"/>
      <c r="M17" s="23"/>
      <c r="N17" s="194"/>
      <c r="O17" s="193"/>
      <c r="P17" s="36" t="s">
        <v>71</v>
      </c>
      <c r="Q17" s="36">
        <f>IF(G17=1,Q3,IF(G17=2,Q4,IF(G17=3,Q5,IF(G17=4,Q6,IF(G17=5,Q7,IF(G17=6,Q8,IF(G17=7,Q9,IF(G17=8,Q10))))))))</f>
        <v>160</v>
      </c>
      <c r="R17" s="35" t="s">
        <v>170</v>
      </c>
      <c r="S17" s="38">
        <f>IF(G17=1,C3,IF(G17=2,C4,IF(G17=3,C5,IF(G17=4,C6,IF(G17=5,C7,IF(G17=6,C8,IF(G17=7,C9,IF(G17=8,C10))))))))</f>
        <v>16</v>
      </c>
      <c r="T17" s="39"/>
      <c r="U17" s="33"/>
    </row>
    <row r="18" spans="1:23" ht="15.75" thickBot="1">
      <c r="A18" s="425"/>
      <c r="B18" s="425"/>
      <c r="C18" s="425"/>
      <c r="D18" s="425"/>
      <c r="E18" s="425"/>
      <c r="F18" s="425"/>
      <c r="G18" s="425"/>
      <c r="H18" s="428"/>
      <c r="I18" s="428"/>
      <c r="J18" s="428"/>
      <c r="K18" s="428"/>
      <c r="L18" s="428"/>
      <c r="M18" s="428"/>
      <c r="N18" s="425"/>
      <c r="O18" s="425"/>
      <c r="P18" s="36"/>
      <c r="Q18" s="36" t="b">
        <f>IF(G17=9,Q11,IF(G17=10,Q12,IF(G17=11,Q13,IF(G17=12,Q14,IF(G17=13,Q15)))))</f>
        <v>0</v>
      </c>
      <c r="R18" s="36"/>
      <c r="S18" s="38" t="b">
        <f>IF(G17=9,C11,IF(G17=10,C12,IF(G17=11,C13,IF(G17=12,C14,IF(G17=13,C15)))))</f>
        <v>0</v>
      </c>
      <c r="T18" s="39"/>
      <c r="U18" s="33"/>
    </row>
    <row r="19" spans="1:23" ht="16.5" thickTop="1">
      <c r="A19" s="196" t="s">
        <v>176</v>
      </c>
      <c r="B19" s="51"/>
      <c r="C19" s="51"/>
      <c r="D19" s="51"/>
      <c r="E19" s="429">
        <v>1</v>
      </c>
      <c r="F19" s="158" t="s">
        <v>321</v>
      </c>
      <c r="G19" s="51"/>
      <c r="H19" s="51"/>
      <c r="I19" s="430"/>
      <c r="J19" s="430"/>
      <c r="K19" s="430"/>
      <c r="L19" s="430"/>
      <c r="M19" s="52"/>
      <c r="N19" s="53"/>
      <c r="O19" s="428"/>
      <c r="P19" s="36"/>
      <c r="Q19" s="115"/>
      <c r="R19" s="37"/>
      <c r="S19" s="37"/>
      <c r="T19" s="40"/>
    </row>
    <row r="20" spans="1:23" ht="15.75">
      <c r="A20" s="54" t="s">
        <v>114</v>
      </c>
      <c r="B20" s="44">
        <v>300</v>
      </c>
      <c r="C20" s="22" t="s">
        <v>70</v>
      </c>
      <c r="D20" s="20"/>
      <c r="E20" s="21" t="s">
        <v>116</v>
      </c>
      <c r="F20" s="44">
        <v>1</v>
      </c>
      <c r="G20" s="425"/>
      <c r="H20" s="21" t="s">
        <v>113</v>
      </c>
      <c r="I20" s="44">
        <v>17</v>
      </c>
      <c r="J20" s="23" t="s">
        <v>115</v>
      </c>
      <c r="K20" s="382"/>
      <c r="L20" s="281"/>
      <c r="M20" s="22"/>
      <c r="N20" s="55"/>
      <c r="O20" s="428"/>
      <c r="P20" s="36" t="s">
        <v>126</v>
      </c>
      <c r="Q20" s="36">
        <f>IF(G17=1,K3,IF(G17=2,K4,IF(G17=3,K5,IF(G17=4,K6,IF(G17=5,K7,IF(G17=6,K8,IF(G17=7,K9,IF(G17=8,K10))))))))</f>
        <v>869</v>
      </c>
      <c r="R20" s="27"/>
      <c r="S20" s="36"/>
      <c r="T20" s="40"/>
      <c r="V20" s="3"/>
      <c r="W20" s="3"/>
    </row>
    <row r="21" spans="1:23" ht="15.75">
      <c r="A21" s="54" t="s">
        <v>119</v>
      </c>
      <c r="B21" s="44">
        <v>2400</v>
      </c>
      <c r="C21" s="23" t="s">
        <v>150</v>
      </c>
      <c r="D21" s="20"/>
      <c r="E21" s="21" t="s">
        <v>117</v>
      </c>
      <c r="F21" s="44">
        <v>1</v>
      </c>
      <c r="G21" s="431"/>
      <c r="H21" s="383" t="s">
        <v>324</v>
      </c>
      <c r="I21" s="385">
        <v>5</v>
      </c>
      <c r="J21" s="384" t="s">
        <v>115</v>
      </c>
      <c r="K21" s="383" t="s">
        <v>325</v>
      </c>
      <c r="L21" s="385">
        <v>9.1</v>
      </c>
      <c r="M21" s="384" t="s">
        <v>115</v>
      </c>
      <c r="N21" s="55"/>
      <c r="O21" s="428"/>
      <c r="P21" s="36"/>
      <c r="Q21" s="36" t="b">
        <f>IF(G17=9,K11,IF(G17=10,K12,IF(G17=11,K13,IF(G17=12,K14,IF(G17=13,K15,IF(G17=14,K16,IF(G17=15,K17)))))))</f>
        <v>0</v>
      </c>
      <c r="R21" s="27"/>
      <c r="S21" s="36"/>
      <c r="T21" s="40"/>
      <c r="V21" s="3"/>
      <c r="W21" s="3"/>
    </row>
    <row r="22" spans="1:23" ht="15.75">
      <c r="A22" s="54" t="s">
        <v>120</v>
      </c>
      <c r="B22" s="43">
        <f>F22*B21</f>
        <v>1440</v>
      </c>
      <c r="C22" s="20" t="s">
        <v>121</v>
      </c>
      <c r="D22" s="431"/>
      <c r="E22" s="21" t="s">
        <v>32</v>
      </c>
      <c r="F22" s="44">
        <v>0.6</v>
      </c>
      <c r="G22" s="431"/>
      <c r="H22" s="282"/>
      <c r="I22" s="281"/>
      <c r="J22" s="185"/>
      <c r="K22" s="185"/>
      <c r="L22" s="386"/>
      <c r="M22" s="384"/>
      <c r="N22" s="55"/>
      <c r="O22" s="428"/>
      <c r="P22" s="36" t="s">
        <v>127</v>
      </c>
      <c r="Q22" s="36">
        <f>IF(G17=1,L3,IF(G17=2,L4,IF(G17=3,L5,IF(G17=4,L6,IF(G17=5,L7,IF(G17=6,L8,IF(G17=7,L9,IF(G17=8,L10))))))))</f>
        <v>109</v>
      </c>
      <c r="R22" s="27"/>
      <c r="S22" s="36"/>
      <c r="T22" s="40"/>
      <c r="V22" s="3"/>
      <c r="W22" s="3"/>
    </row>
    <row r="23" spans="1:23" ht="15.75">
      <c r="A23" s="439" t="s">
        <v>332</v>
      </c>
      <c r="B23" s="415">
        <v>1584</v>
      </c>
      <c r="C23" s="433" t="s">
        <v>26</v>
      </c>
      <c r="D23" s="434"/>
      <c r="E23" s="432" t="s">
        <v>333</v>
      </c>
      <c r="F23" s="415">
        <v>1800</v>
      </c>
      <c r="G23" s="39" t="s">
        <v>26</v>
      </c>
      <c r="H23" s="426"/>
      <c r="I23" s="23"/>
      <c r="J23" s="23"/>
      <c r="K23" s="25" t="s">
        <v>162</v>
      </c>
      <c r="L23" s="44">
        <v>16</v>
      </c>
      <c r="M23" s="23" t="s">
        <v>70</v>
      </c>
      <c r="N23" s="440"/>
      <c r="O23" s="428"/>
      <c r="P23" s="36"/>
      <c r="Q23" s="36" t="b">
        <f>IF(G17=9,L11,IF(G17=10,L12,IF(G17=11,L13,IF(G17=12,L14,IF(G17=13,L15,IF(G17=14,L16,IF(G17=15,L17)))))))</f>
        <v>0</v>
      </c>
      <c r="R23" s="27"/>
      <c r="S23" s="36"/>
      <c r="T23" s="40"/>
      <c r="V23" s="3"/>
      <c r="W23" s="3"/>
    </row>
    <row r="24" spans="1:23" ht="15">
      <c r="A24" s="438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6"/>
      <c r="N24" s="440"/>
      <c r="O24" s="428"/>
      <c r="P24" s="36" t="s">
        <v>130</v>
      </c>
      <c r="Q24" s="36">
        <f>IF(G17=1,M3,IF(G17=2,M4,IF(G17=3,M5,IF(G17=4,M6,IF(G17=5,M7,IF(G17=6,M8,IF(G17=7,M9,IF(G17=8,M10))))))))</f>
        <v>68.3</v>
      </c>
      <c r="R24" s="27"/>
      <c r="S24" s="36"/>
      <c r="T24" s="40"/>
      <c r="V24" s="3"/>
      <c r="W24" s="3"/>
    </row>
    <row r="25" spans="1:23" ht="21">
      <c r="A25" s="56" t="s">
        <v>42</v>
      </c>
      <c r="B25" s="25"/>
      <c r="C25" s="425"/>
      <c r="D25" s="425"/>
      <c r="E25" s="104">
        <f>E17</f>
        <v>2</v>
      </c>
      <c r="F25" s="105" t="s">
        <v>71</v>
      </c>
      <c r="G25" s="106">
        <f>MAX(Q17,Q18)</f>
        <v>160</v>
      </c>
      <c r="H25" s="23"/>
      <c r="I25" s="22"/>
      <c r="J25" s="22"/>
      <c r="K25" s="426"/>
      <c r="L25" s="426"/>
      <c r="M25" s="23"/>
      <c r="N25" s="63"/>
      <c r="O25" s="428"/>
      <c r="P25" s="36"/>
      <c r="Q25" s="36" t="b">
        <f>IF(G17=9,M11,IF(G17=10,M12,IF(G17=11,M13,IF(G17=12,M14,IF(G17=13,M15,IF(G17=14,M16,IF(G17=15,M17)))))))</f>
        <v>0</v>
      </c>
      <c r="R25" s="27"/>
      <c r="S25" s="36"/>
      <c r="T25" s="40"/>
      <c r="V25" s="3"/>
      <c r="W25" s="3"/>
    </row>
    <row r="26" spans="1:23" ht="15.75">
      <c r="A26" s="56" t="s">
        <v>179</v>
      </c>
      <c r="B26" s="25"/>
      <c r="C26" s="25"/>
      <c r="D26" s="25"/>
      <c r="E26" s="23"/>
      <c r="F26" s="23"/>
      <c r="G26" s="23"/>
      <c r="H26" s="23"/>
      <c r="I26" s="426"/>
      <c r="J26" s="426"/>
      <c r="K26" s="185"/>
      <c r="L26" s="23"/>
      <c r="M26" s="23"/>
      <c r="N26" s="55"/>
      <c r="O26" s="428"/>
      <c r="P26" s="36" t="s">
        <v>133</v>
      </c>
      <c r="Q26" s="36">
        <f>IF(G17=1,N3,IF(G17=2,N4,IF(G17=3,N5,IF(G17=4,N6,IF(G17=5,N7,IF(G17=6,N8,IF(G17=7,N9,IF(G17=8,N10))))))))</f>
        <v>16.7</v>
      </c>
      <c r="R26" s="27"/>
      <c r="S26" s="27"/>
      <c r="T26" s="39"/>
      <c r="V26" s="3"/>
      <c r="W26" s="3"/>
    </row>
    <row r="27" spans="1:23" ht="15.75">
      <c r="A27" s="171"/>
      <c r="B27" s="20"/>
      <c r="C27" s="20"/>
      <c r="D27" s="20"/>
      <c r="E27" s="20"/>
      <c r="F27" s="21" t="str">
        <f>F25</f>
        <v>IPE</v>
      </c>
      <c r="G27" s="22">
        <f>G25</f>
        <v>160</v>
      </c>
      <c r="H27" s="20"/>
      <c r="I27" s="426"/>
      <c r="J27" s="426"/>
      <c r="K27" s="20"/>
      <c r="L27" s="20"/>
      <c r="M27" s="20"/>
      <c r="N27" s="57"/>
      <c r="O27" s="428"/>
      <c r="P27" s="62"/>
      <c r="Q27" s="36" t="b">
        <f>IF(G17=9,N11,IF(G17=10,N12,IF(G17=11,N13,IF(G17=12,N14,IF(G17=13,N15,IF(G17=14,N16,IF(G17=15,N17)))))))</f>
        <v>0</v>
      </c>
      <c r="R27" s="27"/>
      <c r="S27" s="27"/>
      <c r="T27" s="39"/>
      <c r="V27" s="3"/>
      <c r="W27" s="3"/>
    </row>
    <row r="28" spans="1:23" ht="15.75">
      <c r="A28" s="54" t="s">
        <v>124</v>
      </c>
      <c r="B28" s="18">
        <f>MAX(Q20,Q21)</f>
        <v>869</v>
      </c>
      <c r="C28" s="23" t="s">
        <v>128</v>
      </c>
      <c r="D28" s="20"/>
      <c r="E28" s="21" t="s">
        <v>131</v>
      </c>
      <c r="F28" s="18">
        <f>MAX(Q24,Q25)</f>
        <v>68.3</v>
      </c>
      <c r="G28" s="23" t="s">
        <v>128</v>
      </c>
      <c r="H28" s="20"/>
      <c r="I28" s="21" t="s">
        <v>134</v>
      </c>
      <c r="J28" s="18">
        <f>MAX(Q29,Q28)</f>
        <v>20.100000000000001</v>
      </c>
      <c r="K28" s="23" t="s">
        <v>122</v>
      </c>
      <c r="L28" s="21" t="s">
        <v>137</v>
      </c>
      <c r="M28" s="18">
        <f>J29/2</f>
        <v>4.0999999999999996</v>
      </c>
      <c r="N28" s="58" t="s">
        <v>70</v>
      </c>
      <c r="O28" s="428"/>
      <c r="P28" s="62" t="s">
        <v>134</v>
      </c>
      <c r="Q28" s="36">
        <f>IF(G17=1,I3,IF(G17=2,I4,IF(G17=3,I5,IF(G17=4,I6,IF(G17=5,I7,IF(G17=6,I8,IF(G17=7,I9,IF(G17=8,I10))))))))</f>
        <v>20.100000000000001</v>
      </c>
      <c r="R28" s="27"/>
      <c r="S28" s="27"/>
      <c r="T28" s="39"/>
      <c r="V28" s="3"/>
      <c r="W28" s="3"/>
    </row>
    <row r="29" spans="1:23" ht="15.75">
      <c r="A29" s="54" t="s">
        <v>125</v>
      </c>
      <c r="B29" s="18">
        <f>MAX(Q22,Q23)</f>
        <v>109</v>
      </c>
      <c r="C29" s="23" t="s">
        <v>129</v>
      </c>
      <c r="D29" s="20"/>
      <c r="E29" s="21" t="s">
        <v>132</v>
      </c>
      <c r="F29" s="18">
        <f>MAX(Q26,Q27)</f>
        <v>16.7</v>
      </c>
      <c r="G29" s="23" t="s">
        <v>129</v>
      </c>
      <c r="H29" s="20"/>
      <c r="I29" s="21" t="s">
        <v>135</v>
      </c>
      <c r="J29" s="18">
        <f>MAX(Q30,Q31)</f>
        <v>8.1999999999999993</v>
      </c>
      <c r="K29" s="23" t="s">
        <v>70</v>
      </c>
      <c r="L29" s="21" t="s">
        <v>169</v>
      </c>
      <c r="M29" s="18">
        <f>MAX(S17,S18)</f>
        <v>16</v>
      </c>
      <c r="N29" s="58" t="s">
        <v>70</v>
      </c>
      <c r="O29" s="16"/>
      <c r="P29" s="36"/>
      <c r="Q29" s="36" t="b">
        <f>IF(G17=9,I11,IF(G17=10,I12,IF(G17=11,I13,IF(G17=12,I14,IF(G17=13,I15,IF(G17=14,I16,IF(G17=15,H17)))))))</f>
        <v>0</v>
      </c>
      <c r="R29" s="27"/>
      <c r="S29" s="27"/>
      <c r="T29" s="39"/>
    </row>
    <row r="30" spans="1:23" ht="15.75">
      <c r="A30" s="171"/>
      <c r="B30" s="20"/>
      <c r="C30" s="20"/>
      <c r="D30" s="20"/>
      <c r="E30" s="23"/>
      <c r="F30" s="21"/>
      <c r="G30" s="23"/>
      <c r="H30" s="20"/>
      <c r="I30" s="21"/>
      <c r="J30" s="20"/>
      <c r="K30" s="20"/>
      <c r="L30" s="20"/>
      <c r="M30" s="20"/>
      <c r="N30" s="57"/>
      <c r="O30" s="16"/>
      <c r="P30" s="36" t="s">
        <v>135</v>
      </c>
      <c r="Q30" s="36">
        <f>IF(G17=1,D3,IF(G17=2,D4,IF(G17=3,D5,IF(G17=4,D6,IF(G17=5,D7,IF(G17=6,D8,IF(G17=7,D9,IF(G17=8,D10))))))))</f>
        <v>8.1999999999999993</v>
      </c>
      <c r="R30" s="27"/>
      <c r="S30" s="27"/>
      <c r="T30" s="39"/>
    </row>
    <row r="31" spans="1:23" ht="15.75">
      <c r="A31" s="56" t="s">
        <v>164</v>
      </c>
      <c r="B31" s="23"/>
      <c r="C31" s="21" t="s">
        <v>135</v>
      </c>
      <c r="D31" s="44">
        <v>30</v>
      </c>
      <c r="E31" s="23" t="s">
        <v>24</v>
      </c>
      <c r="F31" s="21" t="s">
        <v>167</v>
      </c>
      <c r="G31" s="44">
        <v>1.2</v>
      </c>
      <c r="H31" s="23" t="s">
        <v>24</v>
      </c>
      <c r="I31" s="21" t="s">
        <v>134</v>
      </c>
      <c r="J31" s="44">
        <f>D31*G31</f>
        <v>36</v>
      </c>
      <c r="K31" s="23" t="s">
        <v>24</v>
      </c>
      <c r="L31" s="23" t="s">
        <v>168</v>
      </c>
      <c r="M31" s="44" t="str">
        <f>IF(OR(D31=0,G31=0)," 0",CONCATENATE(M29/2+G31/2))</f>
        <v>8.6</v>
      </c>
      <c r="N31" s="55" t="s">
        <v>24</v>
      </c>
      <c r="O31" s="16"/>
      <c r="P31" s="36"/>
      <c r="Q31" s="36" t="b">
        <f>IF(G17=9,D11,IF(G17=10,D12,IF(G17=11,D13,IF(G17=12,D14,IF(G17=13,D15,IF(G17=14,D16,IF(G17=15,#REF!)))))))</f>
        <v>0</v>
      </c>
      <c r="R31" s="27"/>
      <c r="S31" s="27"/>
      <c r="T31" s="39"/>
    </row>
    <row r="32" spans="1:23" ht="19.5">
      <c r="A32" s="56" t="s">
        <v>165</v>
      </c>
      <c r="B32" s="25"/>
      <c r="C32" s="21" t="s">
        <v>135</v>
      </c>
      <c r="D32" s="44">
        <v>0</v>
      </c>
      <c r="E32" s="23" t="s">
        <v>24</v>
      </c>
      <c r="F32" s="21" t="s">
        <v>167</v>
      </c>
      <c r="G32" s="44">
        <v>0</v>
      </c>
      <c r="H32" s="23" t="s">
        <v>24</v>
      </c>
      <c r="I32" s="21" t="s">
        <v>134</v>
      </c>
      <c r="J32" s="44">
        <v>0</v>
      </c>
      <c r="K32" s="23" t="s">
        <v>24</v>
      </c>
      <c r="L32" s="23" t="s">
        <v>168</v>
      </c>
      <c r="M32" s="44" t="str">
        <f>IF(OR(D32=0,G32=0)," 0",CONCATENATE(M29/2+G31+G32/2))</f>
        <v xml:space="preserve"> 0</v>
      </c>
      <c r="N32" s="55" t="s">
        <v>24</v>
      </c>
      <c r="O32" s="16"/>
      <c r="P32" s="36"/>
      <c r="Q32" s="197"/>
      <c r="R32" s="41" t="s">
        <v>162</v>
      </c>
      <c r="S32" s="27">
        <f>P39</f>
        <v>32</v>
      </c>
      <c r="T32" s="39"/>
    </row>
    <row r="33" spans="1:20" ht="15.75">
      <c r="A33" s="56" t="s">
        <v>166</v>
      </c>
      <c r="B33" s="23"/>
      <c r="C33" s="21" t="s">
        <v>135</v>
      </c>
      <c r="D33" s="44">
        <v>0</v>
      </c>
      <c r="E33" s="23" t="s">
        <v>24</v>
      </c>
      <c r="F33" s="21" t="s">
        <v>167</v>
      </c>
      <c r="G33" s="44">
        <v>0</v>
      </c>
      <c r="H33" s="23" t="s">
        <v>24</v>
      </c>
      <c r="I33" s="21" t="s">
        <v>134</v>
      </c>
      <c r="J33" s="44">
        <v>0</v>
      </c>
      <c r="K33" s="23" t="s">
        <v>24</v>
      </c>
      <c r="L33" s="23" t="s">
        <v>137</v>
      </c>
      <c r="M33" s="44" t="str">
        <f>IF(OR(D33=0,G33=0)," 0",CONCATENATE(Q33+J29/2+G33/2))</f>
        <v xml:space="preserve"> 0</v>
      </c>
      <c r="N33" s="55" t="s">
        <v>24</v>
      </c>
      <c r="O33" s="16"/>
      <c r="P33" s="36" t="s">
        <v>161</v>
      </c>
      <c r="Q33" s="36">
        <f>Q31/2+(S32/2)</f>
        <v>16</v>
      </c>
      <c r="R33" s="27"/>
      <c r="S33" s="27"/>
      <c r="T33" s="39"/>
    </row>
    <row r="34" spans="1:20" ht="15.75">
      <c r="A34" s="17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55"/>
      <c r="O34" s="16"/>
      <c r="P34" s="36"/>
      <c r="Q34" s="36"/>
      <c r="R34" s="27"/>
      <c r="S34" s="27"/>
      <c r="T34" s="39"/>
    </row>
    <row r="35" spans="1:20" ht="15.75">
      <c r="A35" s="54">
        <f>E25</f>
        <v>2</v>
      </c>
      <c r="B35" s="20" t="str">
        <f>F27</f>
        <v>IPE</v>
      </c>
      <c r="C35" s="22">
        <f>G27</f>
        <v>160</v>
      </c>
      <c r="D35" s="23"/>
      <c r="E35" s="23"/>
      <c r="F35" s="170" t="s">
        <v>158</v>
      </c>
      <c r="G35" s="23"/>
      <c r="H35" s="23"/>
      <c r="I35" s="18" t="s">
        <v>159</v>
      </c>
      <c r="J35" s="23"/>
      <c r="K35" s="23"/>
      <c r="L35" s="170" t="s">
        <v>160</v>
      </c>
      <c r="M35" s="23"/>
      <c r="N35" s="55"/>
      <c r="O35" s="16"/>
      <c r="P35" s="36"/>
      <c r="Q35" s="36"/>
      <c r="R35" s="27"/>
      <c r="S35" s="27"/>
      <c r="T35" s="39"/>
    </row>
    <row r="36" spans="1:20" ht="15.75">
      <c r="A36" s="54" t="s">
        <v>134</v>
      </c>
      <c r="B36" s="20">
        <f>E25*J28</f>
        <v>40.200000000000003</v>
      </c>
      <c r="C36" s="22" t="s">
        <v>122</v>
      </c>
      <c r="D36" s="23"/>
      <c r="E36" s="21" t="s">
        <v>134</v>
      </c>
      <c r="F36" s="20">
        <f>2*J31</f>
        <v>72</v>
      </c>
      <c r="G36" s="23" t="s">
        <v>122</v>
      </c>
      <c r="H36" s="21" t="s">
        <v>134</v>
      </c>
      <c r="I36" s="20">
        <f>2*J32</f>
        <v>0</v>
      </c>
      <c r="J36" s="23" t="s">
        <v>122</v>
      </c>
      <c r="K36" s="21" t="s">
        <v>134</v>
      </c>
      <c r="L36" s="20">
        <f>2*J33</f>
        <v>0</v>
      </c>
      <c r="M36" s="23" t="s">
        <v>122</v>
      </c>
      <c r="N36" s="55"/>
      <c r="O36" s="16"/>
      <c r="P36" s="36">
        <f>C43/(C41/9.75)</f>
        <v>0.15488197850241819</v>
      </c>
      <c r="Q36" s="36">
        <f>(C41/9.75)</f>
        <v>724.42256410256414</v>
      </c>
      <c r="R36" s="27"/>
      <c r="S36" s="27"/>
      <c r="T36" s="39"/>
    </row>
    <row r="37" spans="1:20" ht="15.75">
      <c r="A37" s="54" t="s">
        <v>137</v>
      </c>
      <c r="B37" s="20">
        <f>Q33/2</f>
        <v>8</v>
      </c>
      <c r="C37" s="22" t="s">
        <v>70</v>
      </c>
      <c r="D37" s="23"/>
      <c r="E37" s="21" t="s">
        <v>168</v>
      </c>
      <c r="F37" s="20" t="str">
        <f>M31</f>
        <v>8.6</v>
      </c>
      <c r="G37" s="23" t="s">
        <v>70</v>
      </c>
      <c r="H37" s="21" t="s">
        <v>168</v>
      </c>
      <c r="I37" s="20" t="str">
        <f>M32</f>
        <v xml:space="preserve"> 0</v>
      </c>
      <c r="J37" s="23" t="s">
        <v>70</v>
      </c>
      <c r="K37" s="21" t="s">
        <v>137</v>
      </c>
      <c r="L37" s="20" t="str">
        <f>M33</f>
        <v xml:space="preserve"> 0</v>
      </c>
      <c r="M37" s="23" t="s">
        <v>70</v>
      </c>
      <c r="N37" s="55"/>
      <c r="O37" s="15"/>
      <c r="P37" s="36">
        <f>C43/(C42/9)</f>
        <v>0.12452215946925792</v>
      </c>
      <c r="Q37" s="36">
        <f>C42/9</f>
        <v>901.04444444444437</v>
      </c>
      <c r="R37" s="27"/>
      <c r="S37" s="27"/>
      <c r="T37" s="39"/>
    </row>
    <row r="38" spans="1:20" ht="15.75">
      <c r="A38" s="54" t="s">
        <v>139</v>
      </c>
      <c r="B38" s="20">
        <f>E25*B28</f>
        <v>1738</v>
      </c>
      <c r="C38" s="22" t="s">
        <v>128</v>
      </c>
      <c r="D38" s="23"/>
      <c r="E38" s="21" t="s">
        <v>139</v>
      </c>
      <c r="F38" s="20">
        <f>2*J31*F37^2</f>
        <v>5325.12</v>
      </c>
      <c r="G38" s="23" t="s">
        <v>128</v>
      </c>
      <c r="H38" s="21" t="s">
        <v>139</v>
      </c>
      <c r="I38" s="20">
        <f>2*J32*I37^2</f>
        <v>0</v>
      </c>
      <c r="J38" s="23" t="s">
        <v>128</v>
      </c>
      <c r="K38" s="21" t="s">
        <v>139</v>
      </c>
      <c r="L38" s="20">
        <f>(G33*D33^3)/6</f>
        <v>0</v>
      </c>
      <c r="M38" s="23" t="s">
        <v>128</v>
      </c>
      <c r="N38" s="55"/>
      <c r="O38" s="15"/>
      <c r="P38" s="36"/>
      <c r="Q38" s="36"/>
      <c r="R38" s="27"/>
      <c r="S38" s="27"/>
      <c r="T38" s="39"/>
    </row>
    <row r="39" spans="1:20" ht="15.75">
      <c r="A39" s="54" t="s">
        <v>141</v>
      </c>
      <c r="B39" s="20">
        <f>E25*F28+(E25)*J28*(B37^2)</f>
        <v>2709.4</v>
      </c>
      <c r="C39" s="22" t="s">
        <v>128</v>
      </c>
      <c r="D39" s="23"/>
      <c r="E39" s="21" t="s">
        <v>141</v>
      </c>
      <c r="F39" s="20">
        <f>(G31*D31^3)/6</f>
        <v>5400</v>
      </c>
      <c r="G39" s="23" t="s">
        <v>128</v>
      </c>
      <c r="H39" s="21" t="s">
        <v>141</v>
      </c>
      <c r="I39" s="20">
        <f>(G32*D32^3)/6</f>
        <v>0</v>
      </c>
      <c r="J39" s="23" t="s">
        <v>128</v>
      </c>
      <c r="K39" s="21" t="s">
        <v>141</v>
      </c>
      <c r="L39" s="20">
        <f>2*J33*L37^2</f>
        <v>0</v>
      </c>
      <c r="M39" s="23" t="s">
        <v>128</v>
      </c>
      <c r="N39" s="55"/>
      <c r="O39" s="15"/>
      <c r="P39" s="20">
        <f>L23*2</f>
        <v>32</v>
      </c>
      <c r="Q39" s="23" t="s">
        <v>70</v>
      </c>
      <c r="R39" s="426"/>
      <c r="S39" s="426"/>
    </row>
    <row r="40" spans="1:20">
      <c r="A40" s="246"/>
      <c r="N40" s="312"/>
      <c r="O40" s="15"/>
      <c r="P40" s="193"/>
      <c r="Q40" s="425"/>
      <c r="R40" s="426"/>
      <c r="S40" s="426"/>
    </row>
    <row r="41" spans="1:20" ht="21">
      <c r="A41" s="198" t="s">
        <v>171</v>
      </c>
      <c r="B41" s="21" t="s">
        <v>43</v>
      </c>
      <c r="C41" s="18">
        <f>B38+F38+I38+L38</f>
        <v>7063.12</v>
      </c>
      <c r="D41" s="22" t="s">
        <v>128</v>
      </c>
      <c r="E41" s="428"/>
      <c r="F41" s="381" t="s">
        <v>326</v>
      </c>
      <c r="G41" s="115" t="s">
        <v>327</v>
      </c>
      <c r="H41" s="437">
        <f>C41/B37</f>
        <v>882.89</v>
      </c>
      <c r="I41" s="22" t="s">
        <v>129</v>
      </c>
      <c r="J41" s="428"/>
      <c r="K41" s="428"/>
      <c r="L41" s="428"/>
      <c r="M41" s="428"/>
      <c r="N41" s="435"/>
      <c r="O41" s="16"/>
      <c r="P41" s="193"/>
      <c r="Q41" s="425"/>
      <c r="R41" s="426"/>
      <c r="S41" s="426"/>
    </row>
    <row r="42" spans="1:20" ht="21">
      <c r="A42" s="198" t="s">
        <v>171</v>
      </c>
      <c r="B42" s="21" t="s">
        <v>172</v>
      </c>
      <c r="C42" s="18">
        <f>B39+F39+I39+L39</f>
        <v>8109.4</v>
      </c>
      <c r="D42" s="22" t="s">
        <v>128</v>
      </c>
      <c r="E42" s="428"/>
      <c r="F42" s="381" t="s">
        <v>132</v>
      </c>
      <c r="G42" s="115" t="s">
        <v>328</v>
      </c>
      <c r="H42" s="437">
        <f>C42/F37</f>
        <v>942.95348837209303</v>
      </c>
      <c r="I42" s="22" t="s">
        <v>129</v>
      </c>
      <c r="J42" s="428"/>
      <c r="K42" s="428"/>
      <c r="L42" s="428"/>
      <c r="M42" s="428"/>
      <c r="N42" s="435"/>
      <c r="O42" s="16"/>
      <c r="P42" s="193"/>
      <c r="Q42" s="193"/>
      <c r="R42" s="13"/>
      <c r="S42" s="13"/>
      <c r="T42" s="13"/>
    </row>
    <row r="43" spans="1:20" ht="21">
      <c r="A43" s="199" t="s">
        <v>171</v>
      </c>
      <c r="B43" s="21" t="s">
        <v>173</v>
      </c>
      <c r="C43" s="18">
        <f>B36+F36+I36+L36</f>
        <v>112.2</v>
      </c>
      <c r="D43" s="22" t="s">
        <v>122</v>
      </c>
      <c r="E43" s="428"/>
      <c r="J43" s="428"/>
      <c r="K43" s="428"/>
      <c r="L43" s="428"/>
      <c r="M43" s="428"/>
      <c r="N43" s="435"/>
      <c r="O43" s="15"/>
      <c r="P43" s="193"/>
      <c r="Q43" s="193"/>
      <c r="R43" s="13"/>
      <c r="S43" s="13"/>
      <c r="T43" s="13"/>
    </row>
    <row r="44" spans="1:20" ht="15.75">
      <c r="A44" s="54" t="s">
        <v>140</v>
      </c>
      <c r="B44" s="24">
        <f>(C41/C43)^0.5</f>
        <v>7.934176620499211</v>
      </c>
      <c r="C44" s="22" t="s">
        <v>70</v>
      </c>
      <c r="D44" s="428"/>
      <c r="E44" s="23"/>
      <c r="F44" s="62"/>
      <c r="G44" s="62"/>
      <c r="H44" s="62"/>
      <c r="I44" s="62"/>
      <c r="J44" s="23"/>
      <c r="K44" s="23"/>
      <c r="L44" s="23"/>
      <c r="M44" s="23"/>
      <c r="N44" s="55"/>
      <c r="O44" s="16"/>
      <c r="P44" s="193"/>
      <c r="Q44" s="193"/>
      <c r="R44" s="13"/>
      <c r="S44" s="13"/>
      <c r="T44" s="13"/>
    </row>
    <row r="45" spans="1:20" ht="15.75">
      <c r="A45" s="54" t="s">
        <v>142</v>
      </c>
      <c r="B45" s="24">
        <f>(C42/C43)^0.5</f>
        <v>8.5015464672679322</v>
      </c>
      <c r="C45" s="22" t="s">
        <v>70</v>
      </c>
      <c r="D45" s="428"/>
      <c r="E45" s="23"/>
      <c r="F45" s="23"/>
      <c r="G45" s="23"/>
      <c r="H45" s="23"/>
      <c r="I45" s="23"/>
      <c r="J45" s="23"/>
      <c r="K45" s="23"/>
      <c r="L45" s="23"/>
      <c r="M45" s="23"/>
      <c r="N45" s="55"/>
      <c r="O45" s="16"/>
      <c r="P45" s="193"/>
      <c r="Q45" s="193"/>
      <c r="R45" s="13"/>
      <c r="S45" s="13"/>
      <c r="T45" s="13"/>
    </row>
    <row r="46" spans="1:20" ht="15.75">
      <c r="A46" s="54" t="s">
        <v>143</v>
      </c>
      <c r="B46" s="20">
        <f>(F20*B20)/B44</f>
        <v>37.811106854478403</v>
      </c>
      <c r="C46" s="185"/>
      <c r="D46" s="23" t="s">
        <v>182</v>
      </c>
      <c r="E46" s="185"/>
      <c r="F46" s="22">
        <f>MAX(B46,B47)</f>
        <v>37.811106854478403</v>
      </c>
      <c r="G46" s="23"/>
      <c r="H46" s="45"/>
      <c r="I46" s="23"/>
      <c r="J46" s="23"/>
      <c r="K46" s="23"/>
      <c r="L46" s="23"/>
      <c r="M46" s="23"/>
      <c r="N46" s="55"/>
      <c r="O46" s="16"/>
      <c r="P46" s="193"/>
      <c r="Q46" s="193"/>
      <c r="R46" s="13"/>
      <c r="S46" s="13"/>
      <c r="T46" s="13"/>
    </row>
    <row r="47" spans="1:20" ht="15.75">
      <c r="A47" s="54" t="s">
        <v>144</v>
      </c>
      <c r="B47" s="20">
        <f>(F21*B20)/B45</f>
        <v>35.28769749774812</v>
      </c>
      <c r="C47" s="185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55"/>
      <c r="O47" s="23"/>
      <c r="P47" s="193"/>
      <c r="Q47" s="193"/>
      <c r="R47" s="13"/>
      <c r="S47" s="13"/>
      <c r="T47" s="13"/>
    </row>
    <row r="48" spans="1:20" ht="15.75">
      <c r="A48" s="54" t="s">
        <v>145</v>
      </c>
      <c r="B48" s="22" t="s">
        <v>146</v>
      </c>
      <c r="C48" s="20"/>
      <c r="D48" s="22">
        <f>6440/(B21)^0.5</f>
        <v>131.45594952936389</v>
      </c>
      <c r="E48" s="20"/>
      <c r="F48" s="185" t="str">
        <f>IF(D48&gt;F46," λmax &lt;Cc          → ","λmax &gt;Cc              →")</f>
        <v xml:space="preserve"> λmax &lt;Cc          → </v>
      </c>
      <c r="G48" s="23"/>
      <c r="H48" s="23"/>
      <c r="I48" s="23"/>
      <c r="J48" s="23"/>
      <c r="K48" s="23"/>
      <c r="L48" s="23"/>
      <c r="M48" s="23"/>
      <c r="N48" s="55"/>
      <c r="O48" s="23"/>
      <c r="P48" s="432"/>
      <c r="Q48" s="436"/>
      <c r="R48" s="13"/>
      <c r="S48" s="13"/>
      <c r="T48" s="13"/>
    </row>
    <row r="49" spans="1:21" ht="15.75">
      <c r="A49" s="246"/>
      <c r="I49" s="23"/>
      <c r="J49" s="23"/>
      <c r="K49" s="23"/>
      <c r="L49" s="23"/>
      <c r="M49" s="23"/>
      <c r="N49" s="55"/>
      <c r="O49" s="23"/>
      <c r="P49" s="432"/>
      <c r="Q49" s="436"/>
      <c r="R49" s="13"/>
      <c r="S49" s="13"/>
      <c r="T49" s="13"/>
    </row>
    <row r="50" spans="1:21" ht="15.75">
      <c r="A50" s="54" t="s">
        <v>174</v>
      </c>
      <c r="B50" s="20" t="s">
        <v>149</v>
      </c>
      <c r="C50" s="20">
        <f>F46/D48</f>
        <v>0.28763328696684337</v>
      </c>
      <c r="D50" s="23"/>
      <c r="E50" s="23" t="s">
        <v>180</v>
      </c>
      <c r="F50" s="20"/>
      <c r="G50" s="20"/>
      <c r="H50" s="22">
        <f>1.67+0.375*C50-0.125*C50^3</f>
        <v>1.7748878903372414</v>
      </c>
      <c r="I50" s="23" t="s">
        <v>181</v>
      </c>
      <c r="J50" s="20"/>
      <c r="K50" s="20"/>
      <c r="L50" s="22">
        <f>((1-0.5*C50^2)*B21)/H50</f>
        <v>1296.2624418138466</v>
      </c>
      <c r="M50" s="23" t="s">
        <v>150</v>
      </c>
      <c r="N50" s="55"/>
      <c r="O50" s="23"/>
      <c r="P50" s="193"/>
      <c r="Q50" s="193"/>
      <c r="R50" s="13"/>
      <c r="S50" s="13"/>
      <c r="T50" s="13"/>
    </row>
    <row r="51" spans="1:21" ht="15.75">
      <c r="A51" s="246"/>
      <c r="B51" s="21" t="s">
        <v>153</v>
      </c>
      <c r="C51" s="22" t="s">
        <v>154</v>
      </c>
      <c r="D51" s="43">
        <f>I20*1000/C43</f>
        <v>151.5151515151515</v>
      </c>
      <c r="E51" s="23" t="s">
        <v>121</v>
      </c>
      <c r="H51" s="383" t="s">
        <v>329</v>
      </c>
      <c r="I51" s="413">
        <f>D51/L50</f>
        <v>0.11688616951914299</v>
      </c>
      <c r="J51" s="412" t="str">
        <f>IF(I51&lt;0.15,"&lt;0.15","&gt;0.15")</f>
        <v>&lt;0.15</v>
      </c>
      <c r="N51" s="55"/>
      <c r="O51" s="23"/>
      <c r="P51" s="426"/>
      <c r="Q51" s="426"/>
      <c r="R51" s="426"/>
      <c r="S51" s="13"/>
      <c r="T51" s="13"/>
    </row>
    <row r="52" spans="1:21" ht="20.25">
      <c r="A52" s="54"/>
      <c r="B52" s="132" t="str">
        <f>IF(I51&gt;0.15,"Cmx=","")</f>
        <v/>
      </c>
      <c r="C52" s="414" t="str">
        <f>IF(I51&gt;0.15,"0.85","")</f>
        <v/>
      </c>
      <c r="D52" s="355"/>
      <c r="E52" s="355"/>
      <c r="F52" s="132" t="s">
        <v>330</v>
      </c>
      <c r="G52" s="411">
        <f>I21*10^5/H41</f>
        <v>566.32196536374863</v>
      </c>
      <c r="H52" s="396" t="s">
        <v>194</v>
      </c>
      <c r="K52" s="23"/>
      <c r="L52" s="23"/>
      <c r="M52" s="23"/>
      <c r="N52" s="312"/>
      <c r="O52" s="23"/>
      <c r="P52" s="426"/>
      <c r="Q52" s="426"/>
      <c r="R52" s="426"/>
      <c r="S52" s="13"/>
      <c r="T52" s="13"/>
    </row>
    <row r="53" spans="1:21" ht="20.25">
      <c r="A53" s="54"/>
      <c r="B53" s="132" t="str">
        <f>IF(I51&gt;0.15,"Cmy=","")</f>
        <v/>
      </c>
      <c r="C53" s="414" t="str">
        <f>IF(I51&gt;0.15,"0.85","")</f>
        <v/>
      </c>
      <c r="D53" s="355"/>
      <c r="E53" s="355"/>
      <c r="F53" s="132" t="s">
        <v>331</v>
      </c>
      <c r="G53" s="411">
        <f>L21*10^5/H42</f>
        <v>965.05290157101638</v>
      </c>
      <c r="H53" s="396" t="s">
        <v>194</v>
      </c>
      <c r="I53" s="23"/>
      <c r="J53" s="23"/>
      <c r="K53" s="23"/>
      <c r="L53" s="23"/>
      <c r="M53" s="23"/>
      <c r="N53" s="55"/>
      <c r="O53" s="23"/>
      <c r="P53" s="193"/>
      <c r="Q53" s="193"/>
      <c r="R53" s="13"/>
      <c r="S53" s="13"/>
      <c r="T53" s="13"/>
    </row>
    <row r="54" spans="1:21" ht="15.75">
      <c r="A54" s="310"/>
      <c r="B54" s="396" t="str">
        <f>IF(I51&lt;0.15,"                                                    fa/Fa+fbx/FBx+fby/FBy&lt;1","      fa/(0.6Fy)+fbx/FBx+fby/FBy&lt;1   &amp;    fa/Fa+Cmx.fbx/[1-fa/F'ex]/FBx+Cmy.fby/[1-fa/F'ey]/FBy&lt;1")</f>
        <v xml:space="preserve">                                                    fa/Fa+fbx/FBx+fby/FBy&lt;1</v>
      </c>
      <c r="C54" s="355"/>
      <c r="D54" s="355"/>
      <c r="E54" s="355"/>
      <c r="F54" s="355"/>
      <c r="G54" s="355"/>
      <c r="H54" s="355"/>
      <c r="I54" s="23"/>
      <c r="J54" s="23"/>
      <c r="K54" s="23"/>
      <c r="L54" s="23"/>
      <c r="M54" s="23"/>
      <c r="N54" s="55"/>
      <c r="O54" s="23"/>
      <c r="P54" s="193"/>
      <c r="Q54" s="193"/>
      <c r="R54" s="13"/>
      <c r="S54" s="13"/>
      <c r="T54" s="13"/>
    </row>
    <row r="55" spans="1:21" ht="15.75">
      <c r="A55" s="171"/>
      <c r="B55" s="132" t="str">
        <f>IF(B52="","","F'ex=")</f>
        <v/>
      </c>
      <c r="C55" s="411" t="str">
        <f>IF(B55="","",10500000/(B46)^2)</f>
        <v/>
      </c>
      <c r="D55" s="396" t="str">
        <f>IF(B55="","","kg/cm2")</f>
        <v/>
      </c>
      <c r="N55" s="55"/>
      <c r="O55" s="23"/>
      <c r="P55" s="193"/>
      <c r="Q55" s="193"/>
      <c r="R55" s="13"/>
      <c r="S55" s="13"/>
      <c r="T55" s="13"/>
    </row>
    <row r="56" spans="1:21" ht="15.75">
      <c r="A56" s="171"/>
      <c r="B56" s="132" t="str">
        <f>IF(B53="","","F'ey=")</f>
        <v/>
      </c>
      <c r="C56" s="411" t="str">
        <f>IF(B56="","",10500000/(B47)^2)</f>
        <v/>
      </c>
      <c r="D56" s="396" t="str">
        <f>IF(B56="","","kg/cm2")</f>
        <v/>
      </c>
      <c r="E56" s="355"/>
      <c r="F56" s="355"/>
      <c r="G56" s="355"/>
      <c r="H56" s="355"/>
      <c r="I56" s="23"/>
      <c r="J56" s="23"/>
      <c r="K56" s="23"/>
      <c r="L56" s="23"/>
      <c r="M56" s="23"/>
      <c r="N56" s="55"/>
      <c r="O56" s="23"/>
      <c r="P56" s="193"/>
      <c r="Q56" s="18"/>
      <c r="R56" s="18"/>
      <c r="S56" s="43"/>
    </row>
    <row r="57" spans="1:21" ht="15.75">
      <c r="A57" s="171"/>
      <c r="B57" s="23"/>
      <c r="C57" s="21"/>
      <c r="D57" s="115"/>
      <c r="E57" s="62"/>
      <c r="F57" s="39"/>
      <c r="G57" s="62"/>
      <c r="H57" s="402" t="str">
        <f>IF(B52="","fa/Fa+fbx/Fbx+fby/Fby=","fa/0.6Fy+fbx/Fbx+fby/Fby=")</f>
        <v>fa/Fa+fbx/Fbx+fby/Fby=</v>
      </c>
      <c r="I57" s="223">
        <f>IF(I51&gt;0.15,D51/1440+G52/B23+G53/F23,I51+G52/B23+G53/F23)</f>
        <v>1.0105531636771248</v>
      </c>
      <c r="J57" s="391" t="str">
        <f>IF(I57&lt;1,"&lt;1  OK","&gt;1  NOT GOOD")</f>
        <v>&gt;1  NOT GOOD</v>
      </c>
      <c r="K57" s="62"/>
      <c r="L57" s="20"/>
      <c r="M57" s="20"/>
      <c r="N57" s="55"/>
      <c r="O57" s="23"/>
      <c r="P57" s="193"/>
      <c r="Q57" s="18"/>
      <c r="R57" s="20"/>
      <c r="S57" s="43"/>
      <c r="T57" s="23"/>
      <c r="U57" s="43"/>
    </row>
    <row r="58" spans="1:21" ht="15.75">
      <c r="A58" s="246"/>
      <c r="B58" s="23"/>
      <c r="C58" s="23"/>
      <c r="D58" s="62"/>
      <c r="E58" s="62"/>
      <c r="F58" s="62"/>
      <c r="G58" s="403"/>
      <c r="H58" s="402" t="str">
        <f>IF(B52="","","fa/Fa+Cmx.fbx/[1-fa/F'ex]/FBx+Cmy.fby/[1-fa/F'ey]/FBy=")</f>
        <v/>
      </c>
      <c r="I58" s="404" t="str">
        <f>IF(B53="","",I51+C52*G52/((1-D51/C55)*B23)+C53*G53/((1-D51/C56)*F23))</f>
        <v/>
      </c>
      <c r="J58" s="391" t="str">
        <f>IF(B53="","",IF(I58&lt;1,"&lt;1   OK","&gt;1   NOT GOOD"))</f>
        <v/>
      </c>
      <c r="K58" s="40"/>
      <c r="L58" s="23"/>
      <c r="M58" s="21"/>
      <c r="N58" s="58"/>
      <c r="O58" s="20"/>
      <c r="P58" s="193"/>
      <c r="Q58" s="193"/>
      <c r="R58" s="13"/>
      <c r="S58" s="13"/>
      <c r="T58" s="13"/>
    </row>
    <row r="59" spans="1:21" ht="15.75">
      <c r="A59" s="246"/>
      <c r="K59" s="62"/>
      <c r="L59" s="23"/>
      <c r="M59" s="21"/>
      <c r="N59" s="58"/>
      <c r="O59" s="281"/>
      <c r="P59" s="193"/>
      <c r="Q59" s="193"/>
      <c r="R59" s="13"/>
      <c r="S59" s="13"/>
      <c r="T59" s="13"/>
    </row>
    <row r="60" spans="1:21" ht="15.75">
      <c r="A60" s="171"/>
      <c r="B60" s="355"/>
      <c r="C60" s="20" t="s">
        <v>319</v>
      </c>
      <c r="D60" s="428"/>
      <c r="E60" s="46">
        <f>(C43*L50/1000)</f>
        <v>145.44064597151359</v>
      </c>
      <c r="F60" s="23" t="s">
        <v>115</v>
      </c>
      <c r="G60" s="23" t="s">
        <v>201</v>
      </c>
      <c r="H60" s="425"/>
      <c r="I60" s="43" t="str">
        <f>IF(E60&gt;=I20,"O.K","N.G")</f>
        <v>O.K</v>
      </c>
      <c r="J60" s="39"/>
      <c r="K60" s="39"/>
      <c r="L60" s="355"/>
      <c r="M60" s="355"/>
      <c r="N60" s="58"/>
      <c r="O60" s="23"/>
      <c r="P60" s="193"/>
      <c r="Q60" s="193"/>
      <c r="R60" s="13"/>
      <c r="S60" s="13"/>
      <c r="T60" s="13"/>
    </row>
    <row r="61" spans="1:21" ht="15.75">
      <c r="A61" s="171"/>
      <c r="B61" s="401">
        <f>E17</f>
        <v>2</v>
      </c>
      <c r="C61" s="107" t="s">
        <v>71</v>
      </c>
      <c r="D61" s="108">
        <f>MAX(Q18,Q17)</f>
        <v>160</v>
      </c>
      <c r="E61" s="108" t="s">
        <v>163</v>
      </c>
      <c r="F61" s="108">
        <f>Q33*10</f>
        <v>160</v>
      </c>
      <c r="G61" s="107" t="str">
        <f>IF(OR(D31=0,G31=0)," ","  + 2PL ")</f>
        <v xml:space="preserve">  + 2PL </v>
      </c>
      <c r="H61" s="109" t="str">
        <f>IF(OR(D31=0,G31=0)," ",CONCATENATE(D31*10,"X",G31*10))</f>
        <v>300X12</v>
      </c>
      <c r="I61" s="107" t="str">
        <f>IF(OR(D32=0,G32=0)," ","  + 2PL ")</f>
        <v xml:space="preserve"> </v>
      </c>
      <c r="J61" s="107" t="str">
        <f>IF(OR(D32=0,G32=0)," ",CONCATENATE(D32*10," X ",G32*10))</f>
        <v xml:space="preserve"> </v>
      </c>
      <c r="K61" s="107" t="str">
        <f>IF(OR(D33=0,G33=0)," ","+ 2PL")</f>
        <v xml:space="preserve"> </v>
      </c>
      <c r="L61" s="108" t="str">
        <f>IF(OR(D33=0,G33=0)," ",CONCATENATE(D33*10,"X",G33*10))</f>
        <v xml:space="preserve"> </v>
      </c>
      <c r="M61" s="270"/>
      <c r="N61" s="173"/>
      <c r="O61" s="23"/>
      <c r="P61" s="193"/>
      <c r="Q61" s="193"/>
      <c r="R61" s="13"/>
      <c r="S61" s="13"/>
      <c r="T61" s="13"/>
    </row>
    <row r="62" spans="1:21" ht="15.75">
      <c r="A62" s="246"/>
      <c r="N62" s="173"/>
      <c r="O62" s="23"/>
      <c r="P62" s="193"/>
      <c r="Q62" s="193"/>
      <c r="R62" s="13"/>
      <c r="S62" s="13"/>
      <c r="T62" s="13"/>
    </row>
    <row r="63" spans="1:21" ht="16.5" thickBot="1">
      <c r="A63" s="200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65"/>
      <c r="O63" s="23"/>
      <c r="P63" s="193"/>
      <c r="Q63" s="193"/>
      <c r="R63" s="13"/>
      <c r="S63" s="13"/>
      <c r="T63" s="13"/>
    </row>
    <row r="64" spans="1:21" ht="16.5" thickTop="1">
      <c r="A64" s="23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23"/>
      <c r="O64" s="185"/>
      <c r="P64" s="193"/>
      <c r="Q64" s="193"/>
      <c r="R64" s="13"/>
      <c r="S64" s="13"/>
      <c r="T64" s="13"/>
    </row>
    <row r="65" spans="1:20" ht="15.75">
      <c r="A65" s="23"/>
      <c r="B65" s="23"/>
      <c r="C65" s="23"/>
      <c r="D65" s="23"/>
      <c r="E65" s="23"/>
      <c r="F65" s="23"/>
      <c r="G65" s="23"/>
      <c r="H65" s="20"/>
      <c r="I65" s="23"/>
      <c r="J65" s="23"/>
      <c r="K65" s="185"/>
      <c r="L65" s="23"/>
      <c r="M65" s="185"/>
      <c r="N65" s="185"/>
      <c r="O65" s="441"/>
      <c r="P65" s="426"/>
      <c r="Q65" s="426"/>
      <c r="R65" s="426"/>
      <c r="S65" s="426"/>
    </row>
    <row r="66" spans="1:20" ht="15.75">
      <c r="A66" s="405"/>
      <c r="B66" s="23"/>
      <c r="C66" s="21"/>
      <c r="D66" s="20"/>
      <c r="E66" s="23"/>
      <c r="F66" s="426"/>
      <c r="G66" s="426"/>
      <c r="H66" s="426"/>
      <c r="I66" s="407"/>
      <c r="J66" s="408"/>
      <c r="K66" s="355"/>
      <c r="L66" s="355"/>
      <c r="M66" s="355"/>
      <c r="N66" s="355"/>
      <c r="O66" s="355"/>
      <c r="P66" s="426"/>
      <c r="Q66" s="426"/>
      <c r="R66" s="13"/>
      <c r="S66" s="13"/>
      <c r="T66" s="13"/>
    </row>
    <row r="67" spans="1:20" ht="15.75">
      <c r="A67" s="405"/>
      <c r="B67" s="23"/>
      <c r="C67" s="23"/>
      <c r="D67" s="23"/>
      <c r="E67" s="23"/>
      <c r="F67" s="426"/>
      <c r="G67" s="426"/>
      <c r="H67" s="426"/>
      <c r="I67" s="397"/>
      <c r="J67" s="408"/>
      <c r="K67" s="132"/>
      <c r="L67" s="355"/>
      <c r="M67" s="355"/>
      <c r="N67" s="355"/>
      <c r="O67" s="426"/>
      <c r="P67" s="426"/>
      <c r="Q67" s="426"/>
      <c r="R67" s="426"/>
      <c r="S67" s="426"/>
    </row>
    <row r="68" spans="1:20" ht="15.75">
      <c r="A68" s="405"/>
      <c r="B68" s="405"/>
      <c r="C68" s="405"/>
      <c r="D68" s="409"/>
      <c r="E68" s="410"/>
      <c r="F68" s="397"/>
      <c r="G68" s="405"/>
      <c r="H68" s="405"/>
      <c r="I68" s="405"/>
      <c r="J68" s="408"/>
      <c r="K68" s="132"/>
      <c r="L68" s="355"/>
      <c r="M68" s="355"/>
      <c r="N68" s="355"/>
      <c r="O68" s="355"/>
      <c r="R68" s="13"/>
      <c r="S68" s="13"/>
      <c r="T68" s="13"/>
    </row>
    <row r="69" spans="1:20" ht="15.75">
      <c r="A69" s="405"/>
      <c r="B69" s="405"/>
      <c r="C69" s="400"/>
      <c r="D69" s="400"/>
      <c r="E69" s="400"/>
      <c r="F69" s="400"/>
      <c r="G69" s="400"/>
      <c r="H69" s="406"/>
      <c r="I69" s="397"/>
      <c r="J69" s="405"/>
      <c r="K69" s="355"/>
      <c r="L69" s="355"/>
      <c r="M69" s="355"/>
      <c r="N69" s="355"/>
      <c r="O69" s="355"/>
      <c r="R69" s="13"/>
      <c r="S69" s="13"/>
      <c r="T69" s="13"/>
    </row>
    <row r="70" spans="1:20" ht="15.75">
      <c r="A70" s="19"/>
      <c r="B70" s="355"/>
      <c r="C70" s="355"/>
      <c r="G70" s="132"/>
      <c r="H70" s="398"/>
      <c r="I70" s="396"/>
      <c r="J70" s="355"/>
      <c r="K70" s="355"/>
      <c r="L70" s="355"/>
      <c r="M70" s="355"/>
      <c r="N70" s="355"/>
      <c r="O70" s="355"/>
      <c r="R70" s="13"/>
      <c r="S70" s="13"/>
      <c r="T70" s="13"/>
    </row>
    <row r="71" spans="1:20" ht="15.75">
      <c r="A71" s="60"/>
      <c r="B71" s="355"/>
      <c r="C71" s="355"/>
      <c r="J71" s="355"/>
      <c r="K71" s="355"/>
      <c r="L71" s="355"/>
      <c r="M71" s="355"/>
      <c r="N71" s="355"/>
      <c r="O71" s="355"/>
      <c r="R71" s="13"/>
      <c r="S71" s="13"/>
      <c r="T71" s="13"/>
    </row>
    <row r="72" spans="1:20" ht="15">
      <c r="C72" s="39"/>
      <c r="D72" s="39"/>
      <c r="E72" s="388"/>
      <c r="J72" s="390"/>
      <c r="K72" s="39"/>
      <c r="R72" s="13"/>
      <c r="S72" s="13"/>
      <c r="T72" s="13"/>
    </row>
    <row r="73" spans="1:20" ht="15">
      <c r="B73" s="39"/>
      <c r="C73" s="39"/>
      <c r="D73" s="390"/>
      <c r="E73" s="390"/>
      <c r="F73" s="390"/>
      <c r="J73" s="393"/>
      <c r="R73" s="13"/>
      <c r="S73" s="13"/>
      <c r="T73" s="13"/>
    </row>
    <row r="74" spans="1:20">
      <c r="R74" s="13"/>
      <c r="S74" s="13"/>
      <c r="T74" s="13"/>
    </row>
    <row r="75" spans="1:20" ht="15">
      <c r="E75" s="389" t="str">
        <f>IF(M48=1,"PD+0.7PL+2.4EY ≤ Pc=1.7Fy.A","")</f>
        <v/>
      </c>
      <c r="R75" s="13"/>
      <c r="S75" s="13"/>
      <c r="T75" s="13"/>
    </row>
    <row r="76" spans="1:20" ht="15">
      <c r="C76" s="90"/>
      <c r="D76" s="389" t="str">
        <f>IF(M48=1,"Pc=1.7Fy.A=","")</f>
        <v/>
      </c>
      <c r="E76" s="394" t="str">
        <f>IF(G56="","",(1.7*C47*I48/1000))</f>
        <v/>
      </c>
      <c r="F76" s="392" t="str">
        <f>IF(G56="","",IF(E76&gt;#REF!,"&gt;  OK","&lt;NOT GOOD"))</f>
        <v/>
      </c>
      <c r="G76" s="389"/>
      <c r="R76" s="13"/>
      <c r="S76" s="13"/>
      <c r="T76" s="13"/>
    </row>
    <row r="77" spans="1:20" ht="15">
      <c r="E77" s="90"/>
      <c r="F77" s="90"/>
      <c r="G77" s="395"/>
      <c r="R77" s="13"/>
      <c r="S77" s="13"/>
      <c r="T77" s="13"/>
    </row>
    <row r="78" spans="1:20" ht="15">
      <c r="C78" s="387"/>
      <c r="D78" s="399"/>
      <c r="E78" s="90"/>
      <c r="F78" s="90"/>
      <c r="H78" s="389"/>
      <c r="R78" s="13"/>
      <c r="S78" s="13"/>
      <c r="T78" s="13"/>
    </row>
    <row r="79" spans="1:20" ht="15">
      <c r="F79" s="90"/>
      <c r="O79" s="14"/>
      <c r="P79" s="13"/>
      <c r="Q79" s="13"/>
      <c r="R79" s="13"/>
      <c r="S79" s="13"/>
      <c r="T79" s="13"/>
    </row>
    <row r="80" spans="1:20" ht="15">
      <c r="F80" s="90"/>
      <c r="O80" s="14"/>
      <c r="P80" s="13"/>
      <c r="Q80" s="13"/>
      <c r="R80" s="13"/>
      <c r="S80" s="13"/>
      <c r="T80" s="13"/>
    </row>
    <row r="81" spans="1:20">
      <c r="O81" s="14"/>
      <c r="P81" s="13"/>
      <c r="Q81" s="13"/>
      <c r="R81" s="13"/>
      <c r="S81" s="13"/>
      <c r="T81" s="13"/>
    </row>
    <row r="82" spans="1:20">
      <c r="O82" s="14"/>
      <c r="P82" s="13"/>
      <c r="Q82" s="13"/>
      <c r="R82" s="13"/>
      <c r="S82" s="13"/>
      <c r="T82" s="13"/>
    </row>
    <row r="83" spans="1:20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3"/>
      <c r="Q83" s="13"/>
      <c r="R83" s="13"/>
      <c r="S83" s="13"/>
      <c r="T83" s="13"/>
    </row>
    <row r="84" spans="1:20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3"/>
      <c r="S84" s="13"/>
      <c r="T84" s="13"/>
    </row>
    <row r="85" spans="1:20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3"/>
      <c r="S85" s="13"/>
      <c r="T85" s="13"/>
    </row>
    <row r="86" spans="1:20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3"/>
      <c r="S86" s="13"/>
      <c r="T86" s="13"/>
    </row>
    <row r="87" spans="1:20">
      <c r="A87" s="14"/>
      <c r="L87" s="15"/>
      <c r="N87" s="15"/>
      <c r="O87" s="16"/>
      <c r="P87" s="16"/>
      <c r="Q87" s="14"/>
      <c r="R87" s="13"/>
      <c r="S87" s="13"/>
      <c r="T87" s="13"/>
    </row>
    <row r="88" spans="1:20">
      <c r="A88" s="14"/>
      <c r="B88" s="17"/>
      <c r="C88" s="15"/>
      <c r="D88" s="16"/>
      <c r="E88" s="17"/>
      <c r="F88" s="15"/>
      <c r="G88" s="16"/>
      <c r="J88" s="16"/>
      <c r="P88" s="16"/>
      <c r="Q88" s="14"/>
      <c r="R88" s="13"/>
      <c r="S88" s="13"/>
      <c r="T88" s="13"/>
    </row>
    <row r="89" spans="1:20">
      <c r="A89" s="5"/>
      <c r="P89" s="16"/>
      <c r="Q89" s="5"/>
    </row>
    <row r="90" spans="1:20">
      <c r="A90" s="5"/>
      <c r="O90" s="16"/>
      <c r="P90" s="16"/>
      <c r="Q90" s="5"/>
    </row>
    <row r="91" spans="1:20">
      <c r="A91" s="5"/>
      <c r="O91" s="16"/>
      <c r="P91" s="16"/>
      <c r="Q91" s="5"/>
    </row>
    <row r="92" spans="1:20">
      <c r="A92" s="5"/>
      <c r="P92" s="16"/>
      <c r="Q92" s="5"/>
    </row>
    <row r="93" spans="1:20">
      <c r="A93" s="5"/>
      <c r="O93" s="16"/>
      <c r="P93" s="16"/>
      <c r="Q93" s="5"/>
    </row>
    <row r="94" spans="1:20">
      <c r="A94" s="5"/>
      <c r="O94" s="16"/>
      <c r="P94" s="16"/>
      <c r="Q94" s="5"/>
    </row>
    <row r="95" spans="1:20">
      <c r="A95" s="5"/>
      <c r="O95" s="16"/>
      <c r="P95" s="16"/>
      <c r="Q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</sheetData>
  <phoneticPr fontId="2" type="noConversion"/>
  <pageMargins left="0" right="0" top="0.98425196850393704" bottom="0.98425196850393704" header="0.51181102362204722" footer="0.51181102362204722"/>
  <pageSetup paperSize="9" orientation="portrait" r:id="rId1"/>
  <headerFooter alignWithMargins="0"/>
  <legacyDrawing r:id="rId2"/>
  <oleObjects>
    <oleObject progId="AutoCAD.Drawing.16" shapeId="5123" r:id="rId3"/>
  </oleObjects>
</worksheet>
</file>

<file path=xl/worksheets/sheet10.xml><?xml version="1.0" encoding="utf-8"?>
<worksheet xmlns="http://schemas.openxmlformats.org/spreadsheetml/2006/main" xmlns:r="http://schemas.openxmlformats.org/officeDocument/2006/relationships">
  <dimension ref="A1:R52"/>
  <sheetViews>
    <sheetView topLeftCell="A3" zoomScaleNormal="100" workbookViewId="0">
      <selection activeCell="H23" sqref="H23"/>
    </sheetView>
  </sheetViews>
  <sheetFormatPr defaultRowHeight="12.75"/>
  <cols>
    <col min="1" max="1" width="9.140625" style="488"/>
    <col min="2" max="10" width="7.7109375" style="488" customWidth="1"/>
    <col min="11" max="16384" width="9.140625" style="488"/>
  </cols>
  <sheetData>
    <row r="1" spans="1:14" ht="15.95" customHeight="1">
      <c r="A1" s="485"/>
      <c r="B1" s="486"/>
      <c r="C1" s="486"/>
      <c r="D1" s="486"/>
      <c r="E1" s="486"/>
      <c r="F1" s="486"/>
      <c r="G1" s="486"/>
      <c r="H1" s="486"/>
      <c r="I1" s="486"/>
      <c r="J1" s="487"/>
      <c r="K1" s="487"/>
      <c r="L1" s="487"/>
      <c r="M1" s="487"/>
      <c r="N1" s="485"/>
    </row>
    <row r="2" spans="1:14" ht="15.95" customHeight="1" thickBot="1">
      <c r="A2" s="489"/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90"/>
    </row>
    <row r="3" spans="1:14" ht="15.95" customHeight="1" thickTop="1">
      <c r="A3" s="491"/>
      <c r="B3" s="492"/>
      <c r="C3" s="493" t="s">
        <v>336</v>
      </c>
      <c r="D3" s="494"/>
      <c r="E3" s="494"/>
      <c r="F3" s="494"/>
      <c r="G3" s="494"/>
      <c r="H3" s="494"/>
      <c r="I3" s="494"/>
      <c r="J3" s="494"/>
      <c r="K3" s="495"/>
      <c r="L3" s="487"/>
      <c r="M3" s="487"/>
      <c r="N3" s="485"/>
    </row>
    <row r="4" spans="1:14" ht="15.95" customHeight="1">
      <c r="A4" s="496" t="s">
        <v>337</v>
      </c>
      <c r="B4" s="497"/>
      <c r="C4" s="498"/>
      <c r="D4" s="487"/>
      <c r="E4" s="487"/>
      <c r="F4" s="487"/>
      <c r="G4" s="487"/>
      <c r="H4" s="487"/>
      <c r="I4" s="487"/>
      <c r="J4" s="487"/>
      <c r="K4" s="499"/>
      <c r="L4" s="487"/>
      <c r="M4" s="487"/>
      <c r="N4" s="485"/>
    </row>
    <row r="5" spans="1:14" ht="15.95" customHeight="1">
      <c r="A5" s="500"/>
      <c r="B5" s="485"/>
      <c r="C5" s="485"/>
      <c r="D5" s="487"/>
      <c r="E5" s="487"/>
      <c r="F5" s="487"/>
      <c r="G5" s="487"/>
      <c r="H5" s="487"/>
      <c r="I5" s="487"/>
      <c r="J5" s="487"/>
      <c r="K5" s="499"/>
      <c r="L5" s="487"/>
      <c r="M5" s="487"/>
      <c r="N5" s="485"/>
    </row>
    <row r="6" spans="1:14" ht="15.95" customHeight="1">
      <c r="A6" s="514" t="s">
        <v>231</v>
      </c>
      <c r="B6" s="526">
        <v>15.48</v>
      </c>
      <c r="C6" s="522" t="s">
        <v>273</v>
      </c>
      <c r="D6" s="64"/>
      <c r="E6" s="487"/>
      <c r="F6" s="487"/>
      <c r="G6" s="487"/>
      <c r="H6" s="487"/>
      <c r="I6" s="487"/>
      <c r="J6" s="487"/>
      <c r="K6" s="499"/>
      <c r="L6" s="487"/>
      <c r="M6" s="487"/>
      <c r="N6" s="485"/>
    </row>
    <row r="7" spans="1:14" ht="15.95" customHeight="1">
      <c r="A7" s="514" t="s">
        <v>134</v>
      </c>
      <c r="B7" s="526">
        <v>0.3</v>
      </c>
      <c r="C7" s="519" t="str">
        <f>IF(B7=0.2,"(LOW RISK OF EARTHQUAKE)",IF(B7=0.25,"(MEDIUM RISK OF EARTHQUAKE)",IF(B7=0.3,"(HIGH RISK OF EARTHQUAKE)",IF(B7=0.35,"(VERY HIGH RISK OF EARTHQUAKE)","NOT ACCEPTABLE!!"))))</f>
        <v>(HIGH RISK OF EARTHQUAKE)</v>
      </c>
      <c r="D7" s="64"/>
      <c r="E7" s="64"/>
      <c r="F7" s="64"/>
      <c r="G7" s="64"/>
      <c r="H7" s="487"/>
      <c r="I7" s="485"/>
      <c r="J7" s="487"/>
      <c r="K7" s="499"/>
      <c r="L7" s="487"/>
      <c r="M7" s="487"/>
      <c r="N7" s="485"/>
    </row>
    <row r="8" spans="1:14" ht="15.95" customHeight="1">
      <c r="A8" s="512" t="s">
        <v>338</v>
      </c>
      <c r="B8" s="526">
        <v>3</v>
      </c>
      <c r="C8" s="64"/>
      <c r="D8" s="64"/>
      <c r="E8" s="487"/>
      <c r="F8" s="487"/>
      <c r="G8" s="487"/>
      <c r="H8" s="487"/>
      <c r="I8" s="487"/>
      <c r="J8" s="487"/>
      <c r="K8" s="499"/>
      <c r="L8" s="487"/>
      <c r="M8" s="487"/>
      <c r="N8" s="485"/>
    </row>
    <row r="9" spans="1:14" ht="15.95" customHeight="1">
      <c r="A9" s="501"/>
      <c r="B9" s="487"/>
      <c r="C9" s="487"/>
      <c r="D9" s="487"/>
      <c r="E9" s="487"/>
      <c r="F9" s="513"/>
      <c r="G9" s="513" t="s">
        <v>339</v>
      </c>
      <c r="H9" s="513"/>
      <c r="I9" s="513" t="s">
        <v>340</v>
      </c>
      <c r="J9" s="489"/>
      <c r="K9" s="499"/>
      <c r="L9" s="487"/>
      <c r="M9" s="487"/>
      <c r="N9" s="485"/>
    </row>
    <row r="10" spans="1:14" ht="15.95" customHeight="1">
      <c r="A10" s="514" t="str">
        <f>IF($B$8=1,"√","")</f>
        <v/>
      </c>
      <c r="B10" s="515" t="s">
        <v>362</v>
      </c>
      <c r="C10" s="37">
        <v>0.4</v>
      </c>
      <c r="D10" s="515" t="s">
        <v>363</v>
      </c>
      <c r="E10" s="37">
        <v>0.1</v>
      </c>
      <c r="F10" s="515" t="s">
        <v>175</v>
      </c>
      <c r="G10" s="37">
        <v>1.5</v>
      </c>
      <c r="H10" s="515" t="s">
        <v>175</v>
      </c>
      <c r="I10" s="37">
        <v>1.5</v>
      </c>
      <c r="J10" s="522" t="s">
        <v>341</v>
      </c>
      <c r="K10" s="528"/>
      <c r="L10" s="487"/>
      <c r="M10" s="487"/>
      <c r="N10" s="485"/>
    </row>
    <row r="11" spans="1:14" ht="15.95" customHeight="1">
      <c r="A11" s="514" t="str">
        <f>IF($B$8=2,"√","")</f>
        <v/>
      </c>
      <c r="B11" s="515" t="s">
        <v>364</v>
      </c>
      <c r="C11" s="37">
        <v>0.5</v>
      </c>
      <c r="D11" s="515" t="s">
        <v>363</v>
      </c>
      <c r="E11" s="37">
        <v>0.1</v>
      </c>
      <c r="F11" s="515" t="s">
        <v>175</v>
      </c>
      <c r="G11" s="37">
        <v>1.5</v>
      </c>
      <c r="H11" s="515" t="s">
        <v>175</v>
      </c>
      <c r="I11" s="37">
        <v>1.5</v>
      </c>
      <c r="J11" s="522" t="s">
        <v>342</v>
      </c>
      <c r="K11" s="528"/>
      <c r="L11" s="487"/>
      <c r="M11" s="487"/>
      <c r="N11" s="485"/>
    </row>
    <row r="12" spans="1:14" ht="15.95" customHeight="1">
      <c r="A12" s="516" t="str">
        <f>IF($B$8=3,"√","")</f>
        <v>√</v>
      </c>
      <c r="B12" s="515" t="s">
        <v>365</v>
      </c>
      <c r="C12" s="37">
        <v>0.7</v>
      </c>
      <c r="D12" s="515" t="s">
        <v>363</v>
      </c>
      <c r="E12" s="37">
        <v>0.15</v>
      </c>
      <c r="F12" s="515" t="s">
        <v>175</v>
      </c>
      <c r="G12" s="37">
        <v>1.75</v>
      </c>
      <c r="H12" s="515" t="s">
        <v>175</v>
      </c>
      <c r="I12" s="37">
        <v>1.75</v>
      </c>
      <c r="J12" s="522" t="s">
        <v>343</v>
      </c>
      <c r="K12" s="528"/>
      <c r="L12" s="487"/>
      <c r="M12" s="487"/>
      <c r="N12" s="485"/>
    </row>
    <row r="13" spans="1:14" ht="15.95" customHeight="1">
      <c r="A13" s="514" t="str">
        <f>IF($B$8=4,"√","")</f>
        <v/>
      </c>
      <c r="B13" s="515" t="s">
        <v>366</v>
      </c>
      <c r="C13" s="37">
        <v>1</v>
      </c>
      <c r="D13" s="515" t="s">
        <v>363</v>
      </c>
      <c r="E13" s="37">
        <v>0.15</v>
      </c>
      <c r="F13" s="515" t="s">
        <v>175</v>
      </c>
      <c r="G13" s="37">
        <v>2.25</v>
      </c>
      <c r="H13" s="515" t="s">
        <v>175</v>
      </c>
      <c r="I13" s="37">
        <v>1.75</v>
      </c>
      <c r="J13" s="522" t="s">
        <v>344</v>
      </c>
      <c r="K13" s="528"/>
      <c r="L13" s="487"/>
      <c r="M13" s="487"/>
      <c r="N13" s="485"/>
    </row>
    <row r="14" spans="1:14" ht="15.95" customHeight="1">
      <c r="A14" s="517"/>
      <c r="B14" s="515" t="s">
        <v>367</v>
      </c>
      <c r="C14" s="518">
        <f>IF(F8="",CHOOSE(B8,C10,C11,C12,C13),"ERROR")</f>
        <v>0.7</v>
      </c>
      <c r="D14" s="519" t="str">
        <f>IF(C14=0.4,"EARTH TYPE I",IF(C14=0.5,"EARTH TYPE II",IF(C14=0.7,"EARTH TYPE III",IF(C14=1,"EARTH TYPE IV","NOT ACCEPTABLE!!"))))</f>
        <v>EARTH TYPE III</v>
      </c>
      <c r="E14" s="37"/>
      <c r="F14" s="37"/>
      <c r="G14" s="64"/>
      <c r="H14" s="64"/>
      <c r="I14" s="64"/>
      <c r="J14" s="64"/>
      <c r="K14" s="529"/>
      <c r="L14" s="487"/>
      <c r="M14" s="487"/>
      <c r="N14" s="485"/>
    </row>
    <row r="15" spans="1:14" ht="15.95" customHeight="1">
      <c r="A15" s="517"/>
      <c r="B15" s="515" t="s">
        <v>363</v>
      </c>
      <c r="C15" s="518">
        <f>IF(A10="#",0.1,IF(A11="#",0.1,IF(A12="#",0.15,0.15)))</f>
        <v>0.15</v>
      </c>
      <c r="D15" s="37"/>
      <c r="E15" s="37"/>
      <c r="F15" s="37"/>
      <c r="G15" s="64"/>
      <c r="H15" s="64"/>
      <c r="I15" s="64"/>
      <c r="J15" s="64"/>
      <c r="K15" s="529"/>
      <c r="L15" s="487"/>
      <c r="M15" s="487"/>
      <c r="N15" s="485"/>
    </row>
    <row r="16" spans="1:14" ht="15.95" customHeight="1">
      <c r="A16" s="517"/>
      <c r="B16" s="515" t="s">
        <v>175</v>
      </c>
      <c r="C16" s="520">
        <f>IF(B8=1,1.5,IF(B8=2,1.5,IF(B8=3,1.75,IF(B7&gt;0.25,1.75,2.25))))</f>
        <v>1.75</v>
      </c>
      <c r="D16" s="37"/>
      <c r="E16" s="37"/>
      <c r="F16" s="37"/>
      <c r="G16" s="64"/>
      <c r="H16" s="64"/>
      <c r="I16" s="64"/>
      <c r="J16" s="525"/>
      <c r="K16" s="529"/>
      <c r="L16" s="487"/>
      <c r="M16" s="487"/>
      <c r="N16" s="485"/>
    </row>
    <row r="17" spans="1:18" ht="15.95" customHeight="1">
      <c r="A17" s="517"/>
      <c r="B17" s="64"/>
      <c r="C17" s="64"/>
      <c r="D17" s="64"/>
      <c r="E17" s="64"/>
      <c r="F17" s="64"/>
      <c r="G17" s="64"/>
      <c r="H17" s="64"/>
      <c r="I17" s="64"/>
      <c r="J17" s="64"/>
      <c r="K17" s="529"/>
      <c r="L17" s="487"/>
      <c r="M17" s="487"/>
      <c r="N17" s="485"/>
    </row>
    <row r="18" spans="1:18" ht="15.95" customHeight="1">
      <c r="A18" s="517"/>
      <c r="B18" s="37"/>
      <c r="C18" s="37"/>
      <c r="D18" s="37"/>
      <c r="E18" s="515" t="s">
        <v>368</v>
      </c>
      <c r="F18" s="526">
        <v>3</v>
      </c>
      <c r="G18" s="64"/>
      <c r="H18" s="64"/>
      <c r="I18" s="64"/>
      <c r="J18" s="64"/>
      <c r="K18" s="529"/>
      <c r="L18" s="487"/>
      <c r="M18" s="487"/>
      <c r="N18" s="485"/>
    </row>
    <row r="19" spans="1:18" ht="15.95" customHeight="1">
      <c r="A19" s="521"/>
      <c r="B19" s="515" t="str">
        <f>IF($F$18=1,"√","")</f>
        <v/>
      </c>
      <c r="C19" s="522" t="s">
        <v>345</v>
      </c>
      <c r="D19" s="37"/>
      <c r="E19" s="37"/>
      <c r="F19" s="37"/>
      <c r="G19" s="37"/>
      <c r="H19" s="37"/>
      <c r="I19" s="64"/>
      <c r="J19" s="64"/>
      <c r="K19" s="529"/>
      <c r="L19" s="487"/>
      <c r="M19" s="487"/>
      <c r="N19" s="485"/>
    </row>
    <row r="20" spans="1:18" ht="15.95" customHeight="1">
      <c r="A20" s="521"/>
      <c r="B20" s="523" t="str">
        <f>IF($F$18=2,"√","")</f>
        <v/>
      </c>
      <c r="C20" s="522" t="s">
        <v>346</v>
      </c>
      <c r="D20" s="37"/>
      <c r="E20" s="37"/>
      <c r="F20" s="37"/>
      <c r="G20" s="37"/>
      <c r="H20" s="37"/>
      <c r="I20" s="64"/>
      <c r="J20" s="64"/>
      <c r="K20" s="529"/>
      <c r="L20" s="487"/>
      <c r="M20" s="487"/>
      <c r="N20" s="485"/>
    </row>
    <row r="21" spans="1:18" ht="15.95" customHeight="1">
      <c r="A21" s="521"/>
      <c r="B21" s="515" t="str">
        <f>IF($F$18=3,"√","")</f>
        <v>√</v>
      </c>
      <c r="C21" s="522" t="s">
        <v>347</v>
      </c>
      <c r="D21" s="37"/>
      <c r="E21" s="37"/>
      <c r="F21" s="37"/>
      <c r="G21" s="64"/>
      <c r="H21" s="64"/>
      <c r="I21" s="64"/>
      <c r="J21" s="64"/>
      <c r="K21" s="529"/>
      <c r="L21" s="487"/>
      <c r="M21" s="487"/>
      <c r="N21" s="485"/>
    </row>
    <row r="22" spans="1:18" ht="15.95" customHeight="1">
      <c r="A22" s="517"/>
      <c r="B22" s="64"/>
      <c r="C22" s="523" t="str">
        <f>IF(G18="",CHOOSE(F18,"Tx=0.08*H^0.75=","Tx=0.07*H^0.75=","Tx=0.05*H^0.75="),"ERROR!!")</f>
        <v>Tx=0.05*H^0.75=</v>
      </c>
      <c r="D22" s="520">
        <f>IF(G18="",CHOOSE(F18,0.08*B6^0.75,0.07*B6^0.75,0.05*B6^0.75),"")</f>
        <v>0.39020984423037364</v>
      </c>
      <c r="E22" s="64"/>
      <c r="F22" s="37"/>
      <c r="G22" s="37"/>
      <c r="H22" s="37"/>
      <c r="I22" s="37"/>
      <c r="J22" s="64"/>
      <c r="K22" s="529"/>
      <c r="L22" s="487"/>
      <c r="M22" s="487"/>
      <c r="N22" s="485"/>
      <c r="R22" s="485"/>
    </row>
    <row r="23" spans="1:18" ht="15.95" customHeight="1">
      <c r="A23" s="517"/>
      <c r="B23" s="524" t="s">
        <v>348</v>
      </c>
      <c r="C23" s="520">
        <f>IF(D22&lt;C15,1+C16*(D22/C15),IF(D22&lt;C14,1+C16,(1+C16)*(C14/D22)^0.6666))</f>
        <v>2.75</v>
      </c>
      <c r="D23" s="64"/>
      <c r="E23" s="64"/>
      <c r="F23" s="64"/>
      <c r="G23" s="64"/>
      <c r="H23" s="64"/>
      <c r="I23" s="64"/>
      <c r="J23" s="64"/>
      <c r="K23" s="529"/>
      <c r="L23" s="487"/>
      <c r="M23" s="487"/>
      <c r="N23" s="485"/>
    </row>
    <row r="24" spans="1:18" ht="15.95" customHeight="1">
      <c r="A24" s="517"/>
      <c r="B24" s="64"/>
      <c r="C24" s="64"/>
      <c r="D24" s="64"/>
      <c r="E24" s="64"/>
      <c r="F24" s="64"/>
      <c r="G24" s="64"/>
      <c r="H24" s="64"/>
      <c r="I24" s="37"/>
      <c r="J24" s="64"/>
      <c r="K24" s="529"/>
      <c r="L24" s="487"/>
      <c r="M24" s="487"/>
      <c r="N24" s="485"/>
      <c r="R24" s="485"/>
    </row>
    <row r="25" spans="1:18" ht="15.95" customHeight="1">
      <c r="A25" s="517"/>
      <c r="B25" s="37"/>
      <c r="C25" s="37"/>
      <c r="D25" s="37"/>
      <c r="E25" s="515" t="s">
        <v>369</v>
      </c>
      <c r="F25" s="526">
        <v>3</v>
      </c>
      <c r="G25" s="64"/>
      <c r="H25" s="64"/>
      <c r="I25" s="64"/>
      <c r="J25" s="64"/>
      <c r="K25" s="529"/>
      <c r="L25" s="487"/>
      <c r="M25" s="487"/>
      <c r="N25" s="485"/>
    </row>
    <row r="26" spans="1:18" ht="15.95" customHeight="1">
      <c r="A26" s="521"/>
      <c r="B26" s="515" t="str">
        <f>IF($F$25=1,"√","")</f>
        <v/>
      </c>
      <c r="C26" s="522" t="s">
        <v>345</v>
      </c>
      <c r="D26" s="37"/>
      <c r="E26" s="37"/>
      <c r="F26" s="37"/>
      <c r="G26" s="37"/>
      <c r="H26" s="37"/>
      <c r="I26" s="64"/>
      <c r="J26" s="64"/>
      <c r="K26" s="529"/>
      <c r="L26" s="487"/>
      <c r="M26" s="487"/>
      <c r="N26" s="485"/>
    </row>
    <row r="27" spans="1:18" ht="15.95" customHeight="1">
      <c r="A27" s="521"/>
      <c r="B27" s="523" t="str">
        <f>IF($F$25=2,"√","")</f>
        <v/>
      </c>
      <c r="C27" s="522" t="s">
        <v>346</v>
      </c>
      <c r="D27" s="37"/>
      <c r="E27" s="37"/>
      <c r="F27" s="37"/>
      <c r="G27" s="37"/>
      <c r="H27" s="37"/>
      <c r="I27" s="64"/>
      <c r="J27" s="64"/>
      <c r="K27" s="529"/>
      <c r="L27" s="487"/>
      <c r="M27" s="487"/>
      <c r="N27" s="485"/>
    </row>
    <row r="28" spans="1:18" ht="15.95" customHeight="1">
      <c r="A28" s="521"/>
      <c r="B28" s="515" t="str">
        <f>IF($F$25=3,"√","")</f>
        <v>√</v>
      </c>
      <c r="C28" s="522" t="s">
        <v>347</v>
      </c>
      <c r="D28" s="37"/>
      <c r="E28" s="37"/>
      <c r="F28" s="37"/>
      <c r="G28" s="64"/>
      <c r="H28" s="64"/>
      <c r="I28" s="64"/>
      <c r="J28" s="64"/>
      <c r="K28" s="529"/>
      <c r="L28" s="487"/>
      <c r="M28" s="487"/>
      <c r="N28" s="485"/>
    </row>
    <row r="29" spans="1:18" ht="15.95" customHeight="1">
      <c r="A29" s="517"/>
      <c r="B29" s="525"/>
      <c r="C29" s="523" t="str">
        <f>IF(G25="",CHOOSE(F25,"Ty=0.08*H^0.75=","Ty=0.07*H^0.75=","Ty=0.05*H^0.75="),"ERROR!!")</f>
        <v>Ty=0.05*H^0.75=</v>
      </c>
      <c r="D29" s="520">
        <f>IF(G25="",CHOOSE(F25,0.08*B6^0.75,0.07*B6^0.75,0.05*B6^0.75),"")</f>
        <v>0.39020984423037364</v>
      </c>
      <c r="E29" s="64"/>
      <c r="F29" s="37"/>
      <c r="G29" s="37"/>
      <c r="H29" s="37"/>
      <c r="I29" s="37"/>
      <c r="J29" s="64"/>
      <c r="K29" s="529"/>
      <c r="L29" s="487"/>
      <c r="M29" s="487"/>
      <c r="N29" s="485"/>
    </row>
    <row r="30" spans="1:18" ht="15.95" customHeight="1">
      <c r="A30" s="517"/>
      <c r="B30" s="524" t="s">
        <v>349</v>
      </c>
      <c r="C30" s="520">
        <f>IF(D29&lt;C15,1+C16*(D29/C15),IF(D29&lt;C14,1+C16,(1+C16)*(C14/D29)^0.6666))</f>
        <v>2.75</v>
      </c>
      <c r="D30" s="64"/>
      <c r="E30" s="64"/>
      <c r="F30" s="64"/>
      <c r="G30" s="64"/>
      <c r="H30" s="64"/>
      <c r="I30" s="64"/>
      <c r="J30" s="64"/>
      <c r="K30" s="529"/>
      <c r="L30" s="487"/>
      <c r="M30" s="487"/>
    </row>
    <row r="31" spans="1:18" ht="15.95" customHeight="1">
      <c r="A31" s="553" t="s">
        <v>351</v>
      </c>
      <c r="B31" s="554"/>
      <c r="C31" s="554"/>
      <c r="D31" s="554"/>
      <c r="E31" s="526">
        <v>2</v>
      </c>
      <c r="F31" s="64"/>
      <c r="G31" s="64"/>
      <c r="H31" s="64"/>
      <c r="I31" s="64"/>
      <c r="J31" s="64"/>
      <c r="K31" s="529"/>
      <c r="L31" s="487"/>
      <c r="M31" s="487"/>
      <c r="N31" s="485"/>
    </row>
    <row r="32" spans="1:18" ht="15.95" customHeight="1">
      <c r="A32" s="553"/>
      <c r="B32" s="554"/>
      <c r="C32" s="554"/>
      <c r="D32" s="554"/>
      <c r="E32" s="64"/>
      <c r="F32" s="64"/>
      <c r="G32" s="64"/>
      <c r="H32" s="64"/>
      <c r="I32" s="64"/>
      <c r="J32" s="64"/>
      <c r="K32" s="529"/>
      <c r="L32" s="487"/>
      <c r="M32" s="487"/>
      <c r="N32" s="485"/>
    </row>
    <row r="33" spans="1:14" ht="15.95" customHeight="1">
      <c r="A33" s="517"/>
      <c r="B33" s="515" t="str">
        <f>IF($E$31=1,"√","")</f>
        <v/>
      </c>
      <c r="C33" s="522" t="s">
        <v>352</v>
      </c>
      <c r="D33" s="37"/>
      <c r="E33" s="37"/>
      <c r="F33" s="37"/>
      <c r="G33" s="64"/>
      <c r="H33" s="37"/>
      <c r="I33" s="64"/>
      <c r="J33" s="64"/>
      <c r="K33" s="529"/>
      <c r="L33" s="487"/>
      <c r="M33" s="487"/>
      <c r="N33" s="485"/>
    </row>
    <row r="34" spans="1:14" ht="15.95" customHeight="1">
      <c r="A34" s="517"/>
      <c r="B34" s="523" t="str">
        <f>IF($E$31=2,"√","")</f>
        <v>√</v>
      </c>
      <c r="C34" s="522" t="s">
        <v>353</v>
      </c>
      <c r="D34" s="37"/>
      <c r="E34" s="37"/>
      <c r="F34" s="37"/>
      <c r="G34" s="64"/>
      <c r="H34" s="64"/>
      <c r="I34" s="64"/>
      <c r="J34" s="64"/>
      <c r="K34" s="529"/>
      <c r="L34" s="487"/>
      <c r="M34" s="487"/>
      <c r="N34" s="485"/>
    </row>
    <row r="35" spans="1:14" ht="15.95" customHeight="1">
      <c r="A35" s="517"/>
      <c r="B35" s="515" t="str">
        <f>IF($E$31=3,"√","")</f>
        <v/>
      </c>
      <c r="C35" s="522" t="s">
        <v>354</v>
      </c>
      <c r="D35" s="37"/>
      <c r="E35" s="37"/>
      <c r="F35" s="37"/>
      <c r="G35" s="64"/>
      <c r="H35" s="64"/>
      <c r="I35" s="64"/>
      <c r="J35" s="64"/>
      <c r="K35" s="529"/>
      <c r="L35" s="487"/>
      <c r="M35" s="487"/>
      <c r="N35" s="485"/>
    </row>
    <row r="36" spans="1:14" ht="15.95" customHeight="1">
      <c r="A36" s="517"/>
      <c r="B36" s="515" t="str">
        <f>IF($E$31=4,"√","")</f>
        <v/>
      </c>
      <c r="C36" s="522" t="s">
        <v>355</v>
      </c>
      <c r="D36" s="37"/>
      <c r="E36" s="37"/>
      <c r="F36" s="37"/>
      <c r="G36" s="64"/>
      <c r="H36" s="64"/>
      <c r="I36" s="64"/>
      <c r="J36" s="64"/>
      <c r="K36" s="529"/>
      <c r="L36" s="487"/>
      <c r="M36" s="487"/>
      <c r="N36" s="485"/>
    </row>
    <row r="37" spans="1:14" ht="15.95" customHeight="1">
      <c r="A37" s="517"/>
      <c r="B37" s="64"/>
      <c r="C37" s="523" t="s">
        <v>356</v>
      </c>
      <c r="D37" s="518">
        <f>CHOOSE(E31,0.8,1,1.2,1.4)</f>
        <v>1</v>
      </c>
      <c r="E37" s="64"/>
      <c r="F37" s="487"/>
      <c r="G37" s="487"/>
      <c r="H37" s="487"/>
      <c r="I37" s="487"/>
      <c r="J37" s="487"/>
      <c r="K37" s="499"/>
      <c r="L37" s="487"/>
      <c r="M37" s="487"/>
      <c r="N37" s="485"/>
    </row>
    <row r="38" spans="1:14" ht="15.95" customHeight="1">
      <c r="A38" s="553" t="s">
        <v>357</v>
      </c>
      <c r="B38" s="554"/>
      <c r="C38" s="554"/>
      <c r="D38" s="523" t="s">
        <v>358</v>
      </c>
      <c r="E38" s="526">
        <v>6</v>
      </c>
      <c r="F38" s="487"/>
      <c r="G38" s="510"/>
      <c r="H38" s="511"/>
      <c r="I38" s="511"/>
      <c r="J38" s="530" t="s">
        <v>350</v>
      </c>
      <c r="K38" s="531"/>
      <c r="L38" s="501"/>
      <c r="M38" s="487"/>
      <c r="N38" s="485"/>
    </row>
    <row r="39" spans="1:14" ht="15.95" customHeight="1">
      <c r="A39" s="553"/>
      <c r="B39" s="554"/>
      <c r="C39" s="554"/>
      <c r="D39" s="523" t="s">
        <v>359</v>
      </c>
      <c r="E39" s="526">
        <v>6</v>
      </c>
      <c r="F39" s="487"/>
      <c r="G39" s="510"/>
      <c r="H39" s="511"/>
      <c r="I39" s="50"/>
      <c r="J39" s="530" t="s">
        <v>350</v>
      </c>
      <c r="K39" s="531"/>
      <c r="L39" s="501"/>
      <c r="M39" s="487"/>
      <c r="N39" s="485"/>
    </row>
    <row r="40" spans="1:14" ht="15.95" customHeight="1">
      <c r="A40" s="517"/>
      <c r="B40" s="64"/>
      <c r="C40" s="64"/>
      <c r="D40" s="64"/>
      <c r="E40" s="64"/>
      <c r="F40" s="487"/>
      <c r="G40" s="487"/>
      <c r="H40" s="487"/>
      <c r="I40" s="487"/>
      <c r="J40" s="487"/>
      <c r="K40" s="499"/>
      <c r="L40" s="487"/>
      <c r="M40" s="487"/>
      <c r="N40" s="485"/>
    </row>
    <row r="41" spans="1:14" ht="15.95" customHeight="1">
      <c r="A41" s="517"/>
      <c r="B41" s="64"/>
      <c r="C41" s="525"/>
      <c r="D41" s="523" t="s">
        <v>360</v>
      </c>
      <c r="E41" s="527">
        <f>B7*C23*D37/E38</f>
        <v>0.13749999999999998</v>
      </c>
      <c r="F41" s="487"/>
      <c r="G41" s="487"/>
      <c r="H41" s="487"/>
      <c r="I41" s="487"/>
      <c r="J41" s="487"/>
      <c r="K41" s="499"/>
      <c r="L41" s="487"/>
      <c r="M41" s="487"/>
      <c r="N41" s="485"/>
    </row>
    <row r="42" spans="1:14" ht="15.95" customHeight="1">
      <c r="A42" s="517"/>
      <c r="B42" s="64"/>
      <c r="C42" s="525"/>
      <c r="D42" s="523" t="s">
        <v>361</v>
      </c>
      <c r="E42" s="527">
        <f>B7*C30*D37/E39</f>
        <v>0.13749999999999998</v>
      </c>
      <c r="F42" s="487"/>
      <c r="G42" s="487"/>
      <c r="H42" s="487"/>
      <c r="I42" s="487"/>
      <c r="J42" s="487"/>
      <c r="K42" s="499"/>
      <c r="L42" s="487"/>
      <c r="M42" s="487"/>
      <c r="N42" s="485"/>
    </row>
    <row r="43" spans="1:14" ht="15.95" customHeight="1">
      <c r="A43" s="517"/>
      <c r="B43" s="64"/>
      <c r="C43" s="64"/>
      <c r="D43" s="64"/>
      <c r="E43" s="64"/>
      <c r="F43" s="487"/>
      <c r="G43" s="487"/>
      <c r="H43" s="487"/>
      <c r="I43" s="487"/>
      <c r="J43" s="487"/>
      <c r="K43" s="499"/>
      <c r="L43" s="487"/>
      <c r="M43" s="487"/>
      <c r="N43" s="485"/>
    </row>
    <row r="44" spans="1:14" ht="15.95" customHeight="1" thickBot="1">
      <c r="A44" s="502"/>
      <c r="B44" s="503"/>
      <c r="C44" s="503"/>
      <c r="D44" s="503"/>
      <c r="E44" s="503"/>
      <c r="F44" s="503"/>
      <c r="G44" s="503"/>
      <c r="H44" s="503"/>
      <c r="I44" s="503"/>
      <c r="J44" s="503"/>
      <c r="K44" s="504"/>
      <c r="L44" s="485"/>
      <c r="M44" s="485"/>
      <c r="N44" s="485"/>
    </row>
    <row r="45" spans="1:14" ht="15.95" customHeight="1" thickTop="1">
      <c r="A45" s="505"/>
      <c r="B45" s="505"/>
      <c r="C45" s="505"/>
      <c r="D45" s="505"/>
      <c r="E45" s="505"/>
      <c r="F45" s="505"/>
      <c r="G45" s="505"/>
      <c r="H45" s="505"/>
      <c r="I45" s="505"/>
      <c r="J45" s="505"/>
      <c r="K45" s="505"/>
      <c r="L45" s="505"/>
      <c r="M45" s="505"/>
      <c r="N45" s="505"/>
    </row>
    <row r="46" spans="1:14" ht="15.95" customHeight="1">
      <c r="A46" s="505"/>
      <c r="B46" s="505"/>
      <c r="C46" s="505"/>
      <c r="D46" s="505"/>
      <c r="E46" s="505"/>
      <c r="F46" s="505"/>
      <c r="G46" s="505"/>
      <c r="H46" s="505"/>
      <c r="I46" s="505"/>
      <c r="J46" s="505"/>
      <c r="K46" s="505"/>
      <c r="L46" s="505"/>
      <c r="M46" s="505"/>
      <c r="N46" s="505"/>
    </row>
    <row r="50" spans="2:4" ht="15">
      <c r="B50" s="506"/>
      <c r="C50" s="507"/>
      <c r="D50" s="508"/>
    </row>
    <row r="51" spans="2:4" ht="15">
      <c r="B51" s="506"/>
      <c r="C51" s="507"/>
    </row>
    <row r="52" spans="2:4">
      <c r="D52" s="509"/>
    </row>
  </sheetData>
  <mergeCells count="2">
    <mergeCell ref="A31:D32"/>
    <mergeCell ref="A38:C39"/>
  </mergeCells>
  <phoneticPr fontId="83" type="noConversion"/>
  <dataValidations disablePrompts="1" count="1">
    <dataValidation type="whole" allowBlank="1" showInputMessage="1" showErrorMessage="1" sqref="D52">
      <formula1>1</formula1>
      <formula2>11</formula2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8:T106"/>
  <sheetViews>
    <sheetView tabSelected="1" topLeftCell="A20" zoomScaleNormal="100" workbookViewId="0">
      <selection activeCell="C46" sqref="C46"/>
    </sheetView>
  </sheetViews>
  <sheetFormatPr defaultRowHeight="12.75"/>
  <sheetData>
    <row r="8" spans="3:18" ht="15.75"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281"/>
      <c r="N8" s="281"/>
      <c r="O8" s="3"/>
      <c r="P8" s="3"/>
      <c r="Q8" s="6"/>
      <c r="R8" s="5"/>
    </row>
    <row r="9" spans="3:18" ht="21">
      <c r="C9" s="551" t="s">
        <v>376</v>
      </c>
      <c r="D9" s="551"/>
      <c r="E9" s="551"/>
      <c r="F9" s="551"/>
      <c r="G9" s="551"/>
      <c r="H9" s="551"/>
      <c r="I9" s="551"/>
      <c r="J9" s="551"/>
      <c r="K9" s="551"/>
      <c r="L9" s="185"/>
      <c r="M9" s="281"/>
      <c r="N9" s="281"/>
      <c r="O9" s="3"/>
      <c r="P9" s="3"/>
      <c r="Q9" s="6"/>
      <c r="R9" s="5"/>
    </row>
    <row r="10" spans="3:18" s="4" customFormat="1" ht="15.75">
      <c r="C10" s="542"/>
      <c r="D10" s="542"/>
      <c r="E10" s="542"/>
      <c r="F10" s="542"/>
      <c r="G10" s="542"/>
      <c r="H10" s="542"/>
      <c r="I10" s="542"/>
      <c r="J10" s="542"/>
      <c r="K10" s="542"/>
      <c r="L10" s="23"/>
      <c r="M10" s="194"/>
      <c r="N10" s="194"/>
      <c r="O10" s="266"/>
      <c r="P10" s="266"/>
      <c r="Q10" s="206"/>
      <c r="R10" s="8"/>
    </row>
    <row r="11" spans="3:18" ht="15.75">
      <c r="C11" s="185"/>
      <c r="D11" s="535" t="s">
        <v>241</v>
      </c>
      <c r="E11" s="6"/>
      <c r="F11" s="6"/>
      <c r="G11" s="6"/>
      <c r="H11" s="466" t="s">
        <v>386</v>
      </c>
      <c r="I11" s="6"/>
      <c r="J11" s="5"/>
      <c r="K11" s="5"/>
      <c r="L11" s="185"/>
      <c r="M11" s="281"/>
      <c r="N11" s="281"/>
      <c r="O11" s="3"/>
      <c r="P11" s="3"/>
      <c r="Q11" s="6"/>
      <c r="R11" s="5"/>
    </row>
    <row r="12" spans="3:18" ht="15.75">
      <c r="C12" s="185"/>
      <c r="D12" s="5"/>
      <c r="E12" s="5"/>
      <c r="F12" s="5"/>
      <c r="G12" s="5"/>
      <c r="H12" s="5"/>
      <c r="I12" s="5"/>
      <c r="J12" s="5"/>
      <c r="K12" s="5"/>
      <c r="L12" s="185"/>
      <c r="M12" s="281"/>
      <c r="N12" s="281"/>
      <c r="O12" s="3"/>
      <c r="P12" s="3"/>
      <c r="Q12" s="3"/>
    </row>
    <row r="13" spans="3:18" ht="18.75">
      <c r="C13" s="185"/>
      <c r="D13" s="185"/>
      <c r="E13" s="172" t="s">
        <v>211</v>
      </c>
      <c r="F13" s="315">
        <v>210</v>
      </c>
      <c r="G13" s="185" t="s">
        <v>194</v>
      </c>
      <c r="H13" s="185"/>
      <c r="I13" s="185"/>
      <c r="J13" s="185"/>
      <c r="K13" s="185"/>
      <c r="L13" s="185"/>
      <c r="M13" s="281"/>
      <c r="N13" s="281"/>
      <c r="O13" s="3"/>
      <c r="P13" s="3"/>
      <c r="Q13" s="3"/>
    </row>
    <row r="14" spans="3:18" ht="18.75">
      <c r="C14" s="185"/>
      <c r="D14" s="185"/>
      <c r="E14" s="172" t="s">
        <v>119</v>
      </c>
      <c r="F14" s="315">
        <v>2400</v>
      </c>
      <c r="G14" s="185" t="s">
        <v>194</v>
      </c>
      <c r="H14" s="185"/>
      <c r="I14" s="6"/>
      <c r="J14" s="6"/>
      <c r="K14" s="185"/>
      <c r="L14" s="185"/>
      <c r="M14" s="281"/>
      <c r="N14" s="281"/>
      <c r="O14" s="3"/>
      <c r="P14" s="3"/>
      <c r="Q14" s="3"/>
    </row>
    <row r="15" spans="3:18" ht="18.75">
      <c r="C15" s="185"/>
      <c r="D15" s="185"/>
      <c r="E15" s="185" t="s">
        <v>377</v>
      </c>
      <c r="F15" s="227">
        <f>0.6*F13</f>
        <v>126</v>
      </c>
      <c r="G15" s="185" t="s">
        <v>194</v>
      </c>
      <c r="H15" s="185"/>
      <c r="I15" s="185"/>
      <c r="J15" s="185"/>
      <c r="K15" s="185"/>
      <c r="L15" s="185"/>
      <c r="M15" s="281"/>
      <c r="N15" s="281"/>
      <c r="O15" s="3"/>
      <c r="P15" s="3"/>
      <c r="Q15" s="3"/>
    </row>
    <row r="16" spans="3:18" ht="15.75">
      <c r="C16" s="185"/>
      <c r="D16" s="185"/>
      <c r="E16" s="172" t="s">
        <v>113</v>
      </c>
      <c r="F16" s="315">
        <v>360</v>
      </c>
      <c r="G16" s="185" t="s">
        <v>27</v>
      </c>
      <c r="H16" s="185"/>
      <c r="I16" s="185"/>
      <c r="J16" s="185"/>
      <c r="K16" s="185"/>
      <c r="L16" s="185"/>
      <c r="M16" s="281"/>
      <c r="N16" s="281"/>
      <c r="O16" s="3"/>
      <c r="P16" s="3"/>
      <c r="Q16" s="3"/>
    </row>
    <row r="17" spans="3:20" ht="20.100000000000001" customHeight="1">
      <c r="C17" s="185"/>
      <c r="D17" s="185"/>
      <c r="E17" s="172" t="s">
        <v>148</v>
      </c>
      <c r="F17" s="315">
        <v>70</v>
      </c>
      <c r="G17" s="185" t="s">
        <v>24</v>
      </c>
      <c r="H17" s="185"/>
      <c r="I17" s="185"/>
      <c r="J17" s="185"/>
      <c r="K17" s="185"/>
      <c r="L17" s="185"/>
      <c r="M17" s="281"/>
      <c r="N17" s="281"/>
      <c r="O17" s="3"/>
      <c r="P17" s="3"/>
      <c r="Q17" s="3"/>
    </row>
    <row r="18" spans="3:20" ht="20.100000000000001" customHeight="1">
      <c r="C18" s="185"/>
      <c r="D18" s="185"/>
      <c r="E18" s="172" t="s">
        <v>212</v>
      </c>
      <c r="F18" s="532">
        <v>70</v>
      </c>
      <c r="G18" s="185" t="s">
        <v>24</v>
      </c>
      <c r="H18" s="5"/>
      <c r="I18" s="5"/>
      <c r="J18" s="5"/>
      <c r="K18" s="5"/>
      <c r="L18" s="185"/>
      <c r="M18" s="281"/>
      <c r="N18" s="281"/>
      <c r="O18" s="3"/>
      <c r="P18" s="3"/>
      <c r="Q18" s="3"/>
    </row>
    <row r="19" spans="3:20" ht="10.5" customHeight="1">
      <c r="C19" s="185"/>
      <c r="D19" s="185"/>
      <c r="E19" s="5"/>
      <c r="F19" s="5"/>
      <c r="G19" s="5"/>
      <c r="H19" s="5"/>
      <c r="I19" s="5"/>
      <c r="J19" s="5"/>
      <c r="K19" s="5"/>
      <c r="L19" s="185"/>
      <c r="P19" s="318"/>
      <c r="Q19" s="3"/>
    </row>
    <row r="20" spans="3:20" ht="20.100000000000001" customHeight="1">
      <c r="C20" s="185"/>
      <c r="D20" s="185"/>
      <c r="E20" s="172" t="s">
        <v>374</v>
      </c>
      <c r="F20" s="227">
        <f>F17*F18</f>
        <v>4900</v>
      </c>
      <c r="G20" s="185" t="s">
        <v>213</v>
      </c>
      <c r="H20" s="5"/>
      <c r="I20" s="185"/>
      <c r="J20" s="185"/>
      <c r="K20" s="185"/>
      <c r="L20" s="185"/>
      <c r="M20" s="185"/>
      <c r="N20" s="185"/>
      <c r="O20" s="185"/>
      <c r="S20" s="318"/>
      <c r="T20" s="3"/>
    </row>
    <row r="21" spans="3:20" ht="20.100000000000001" customHeight="1">
      <c r="C21" s="185"/>
      <c r="D21" s="185"/>
      <c r="E21" s="172" t="s">
        <v>214</v>
      </c>
      <c r="F21" s="227">
        <f>F16*1000/F20</f>
        <v>73.469387755102048</v>
      </c>
      <c r="G21" s="185" t="s">
        <v>194</v>
      </c>
      <c r="H21" s="316" t="str">
        <f>IF(F21&lt;F15,"fp&lt;Fp  O.K", "fp&gt;Fp  N.G")</f>
        <v>fp&lt;Fp  O.K</v>
      </c>
      <c r="I21" s="5"/>
      <c r="J21" s="185"/>
      <c r="K21" s="185"/>
      <c r="L21" s="185"/>
      <c r="M21" s="185"/>
      <c r="N21" s="185"/>
      <c r="O21" s="185"/>
      <c r="P21" s="172" t="s">
        <v>215</v>
      </c>
      <c r="Q21" s="317">
        <f>IF(F25=1,E100,IF(F25=1.1,F100,IF(F25=1.2,G100,IF(F25=1.3,H100,IF(F25=1.4,I100,IF(F25=1.5,J100,IF(F25=1.6,K100,IF(F25=1.7,L100))))))))</f>
        <v>4.8000000000000001E-2</v>
      </c>
      <c r="R21" s="317" t="b">
        <f>IF(F25=1.8,M100,IF(F25=1.9,N100,IF(F25=2,O100,IF(F25&gt;2,P100))))</f>
        <v>0</v>
      </c>
      <c r="S21" s="318"/>
      <c r="T21" s="3"/>
    </row>
    <row r="22" spans="3:20" ht="12.75" customHeight="1"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72" t="s">
        <v>216</v>
      </c>
      <c r="Q22" s="319">
        <f>IF(F25=1,E101,IF(F25=1.1,F101,IF(F25=1.2,G101,IF(F25=1.3,H101,IF(F25=1.4,I101,IF(F25=1.5,J101,IF(F25=1.6,K101,IF(F25=1.7,L101))))))))</f>
        <v>4.8000000000000001E-2</v>
      </c>
      <c r="R22" s="317" t="b">
        <f>IF(F25=1.8,M101,IF(F25=1.9,N101,IF(F25=2,O101,IF(F25&gt;2,P101))))</f>
        <v>0</v>
      </c>
      <c r="S22" s="3"/>
      <c r="T22" s="3"/>
    </row>
    <row r="23" spans="3:20" ht="20.100000000000001" customHeight="1">
      <c r="C23" s="185"/>
      <c r="D23" s="185"/>
      <c r="E23" s="172" t="s">
        <v>217</v>
      </c>
      <c r="F23" s="315">
        <v>20</v>
      </c>
      <c r="G23" s="185" t="s">
        <v>24</v>
      </c>
      <c r="H23" s="162" t="s">
        <v>218</v>
      </c>
      <c r="I23" s="172" t="s">
        <v>215</v>
      </c>
      <c r="J23" s="227">
        <f>MAX(Q21,R21)</f>
        <v>4.8000000000000001E-2</v>
      </c>
      <c r="K23" s="185"/>
      <c r="L23" s="185"/>
      <c r="M23" s="281"/>
      <c r="N23" s="281"/>
      <c r="O23" s="3"/>
      <c r="P23" s="3"/>
      <c r="Q23" s="3"/>
    </row>
    <row r="24" spans="3:20" ht="20.100000000000001" customHeight="1">
      <c r="C24" s="185"/>
      <c r="D24" s="185"/>
      <c r="E24" s="172" t="s">
        <v>135</v>
      </c>
      <c r="F24" s="315">
        <v>20</v>
      </c>
      <c r="G24" s="185" t="s">
        <v>24</v>
      </c>
      <c r="H24" s="162"/>
      <c r="I24" s="172" t="s">
        <v>216</v>
      </c>
      <c r="J24" s="227">
        <f>MAX(Q22,R22)</f>
        <v>4.8000000000000001E-2</v>
      </c>
      <c r="K24" s="185"/>
      <c r="L24" s="185"/>
      <c r="M24" s="281"/>
      <c r="N24" s="281"/>
      <c r="O24" s="3"/>
      <c r="P24" s="550"/>
      <c r="Q24" s="550"/>
    </row>
    <row r="25" spans="3:20" ht="20.100000000000001" customHeight="1">
      <c r="C25" s="185"/>
      <c r="D25" s="185"/>
      <c r="E25" s="172" t="s">
        <v>219</v>
      </c>
      <c r="F25" s="320">
        <f>ROUND((F23/F24),1)</f>
        <v>1</v>
      </c>
      <c r="G25" s="321"/>
      <c r="H25" s="185"/>
      <c r="I25" s="185"/>
      <c r="J25" s="185"/>
      <c r="K25" s="185"/>
      <c r="L25" s="185"/>
      <c r="M25" s="3"/>
      <c r="N25" s="3"/>
      <c r="O25" s="3"/>
      <c r="P25" s="550"/>
      <c r="Q25" s="550"/>
      <c r="R25" s="5"/>
      <c r="S25" s="5"/>
      <c r="T25" s="5"/>
    </row>
    <row r="26" spans="3:20" ht="11.25" customHeight="1">
      <c r="C26" s="185"/>
      <c r="D26" s="185"/>
      <c r="E26" s="23"/>
      <c r="F26" s="23"/>
      <c r="G26" s="23"/>
      <c r="H26" s="23"/>
      <c r="I26" s="185"/>
      <c r="J26" s="185"/>
      <c r="K26" s="185"/>
      <c r="L26" s="185"/>
      <c r="M26" s="3"/>
      <c r="N26" s="3"/>
      <c r="O26" s="3"/>
      <c r="P26" s="3"/>
      <c r="Q26" s="3"/>
      <c r="R26" s="5"/>
      <c r="S26" s="5"/>
      <c r="T26" s="5"/>
    </row>
    <row r="27" spans="3:20" ht="20.100000000000001" customHeight="1">
      <c r="C27" s="185"/>
      <c r="D27" s="185"/>
      <c r="E27" s="172" t="s">
        <v>220</v>
      </c>
      <c r="F27" s="180" t="s">
        <v>221</v>
      </c>
      <c r="G27" s="543">
        <f>J23*F21*(F24)^2</f>
        <v>1410.6122448979595</v>
      </c>
      <c r="H27" s="6"/>
      <c r="I27" s="180"/>
      <c r="J27" s="180"/>
      <c r="K27" s="185"/>
      <c r="L27" s="185"/>
      <c r="M27" s="281"/>
      <c r="N27" s="281"/>
      <c r="O27" s="3"/>
      <c r="P27" s="3"/>
      <c r="Q27" s="3"/>
      <c r="R27" s="5"/>
      <c r="S27" s="5"/>
      <c r="T27" s="5"/>
    </row>
    <row r="28" spans="3:20" ht="20.100000000000001" customHeight="1">
      <c r="C28" s="185"/>
      <c r="D28" s="185"/>
      <c r="E28" s="172" t="s">
        <v>222</v>
      </c>
      <c r="F28" s="180" t="s">
        <v>223</v>
      </c>
      <c r="G28" s="543">
        <f>J24*F21*(F23)^2</f>
        <v>1410.6122448979595</v>
      </c>
      <c r="H28" s="6"/>
      <c r="I28" s="180"/>
      <c r="J28" s="180"/>
      <c r="K28" s="185"/>
      <c r="L28" s="185"/>
      <c r="M28" s="281"/>
      <c r="N28" s="281"/>
      <c r="O28" s="3"/>
      <c r="P28" s="3"/>
      <c r="Q28" s="3"/>
      <c r="R28" s="5"/>
      <c r="S28" s="5"/>
      <c r="T28" s="5"/>
    </row>
    <row r="29" spans="3:20" ht="12" customHeight="1">
      <c r="C29" s="185"/>
      <c r="D29" s="185"/>
      <c r="E29" s="23"/>
      <c r="F29" s="23"/>
      <c r="G29" s="23"/>
      <c r="H29" s="23"/>
      <c r="I29" s="185"/>
      <c r="J29" s="185"/>
      <c r="K29" s="185"/>
      <c r="L29" s="185"/>
      <c r="Q29" s="185"/>
      <c r="R29" s="185"/>
      <c r="S29" s="5"/>
      <c r="T29" s="5"/>
    </row>
    <row r="30" spans="3:20" ht="20.100000000000001" customHeight="1">
      <c r="C30" s="185"/>
      <c r="D30" s="185"/>
      <c r="E30" s="23" t="s">
        <v>224</v>
      </c>
      <c r="F30" s="543">
        <f>MAX(G27:G28)</f>
        <v>1410.6122448979595</v>
      </c>
      <c r="G30" s="23"/>
      <c r="H30" s="23"/>
      <c r="I30" s="185"/>
      <c r="J30" s="185"/>
      <c r="K30" s="185"/>
      <c r="L30" s="185"/>
      <c r="M30" s="281"/>
      <c r="N30" s="281"/>
      <c r="O30" s="3"/>
      <c r="P30" s="3"/>
      <c r="Q30" s="3"/>
      <c r="R30" s="5"/>
      <c r="S30" s="5"/>
      <c r="T30" s="5"/>
    </row>
    <row r="31" spans="3:20" ht="20.100000000000001" customHeight="1"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281"/>
      <c r="N31" s="281"/>
      <c r="O31" s="3"/>
      <c r="P31" s="3"/>
      <c r="Q31" s="3"/>
      <c r="R31" s="5"/>
      <c r="S31" s="5"/>
      <c r="T31" s="5"/>
    </row>
    <row r="32" spans="3:20" ht="20.100000000000001" customHeight="1">
      <c r="C32" s="185"/>
      <c r="D32" s="185"/>
      <c r="E32" s="162" t="s">
        <v>225</v>
      </c>
      <c r="F32" s="162"/>
      <c r="G32" s="322">
        <f>(6*F30/(0.75*F14))^0.5</f>
        <v>2.1684189669726033</v>
      </c>
      <c r="H32" s="185" t="s">
        <v>24</v>
      </c>
      <c r="I32" s="172" t="s">
        <v>167</v>
      </c>
      <c r="J32" s="238">
        <v>2.5</v>
      </c>
      <c r="K32" s="185" t="s">
        <v>24</v>
      </c>
      <c r="L32" s="6"/>
      <c r="M32" s="281"/>
      <c r="N32" s="281"/>
      <c r="O32" s="3"/>
      <c r="P32" s="3"/>
      <c r="Q32" s="3"/>
      <c r="R32" s="5"/>
      <c r="S32" s="5"/>
      <c r="T32" s="5"/>
    </row>
    <row r="33" spans="1:17" ht="15.75">
      <c r="C33" s="185"/>
      <c r="D33" s="6"/>
      <c r="E33" s="185"/>
      <c r="F33" s="323" t="str">
        <f>CONCATENATE(" USE PL  ",F17,"x",F18,"x",J32)</f>
        <v xml:space="preserve"> USE PL  70x70x2.5</v>
      </c>
      <c r="G33" s="324"/>
      <c r="H33" s="324"/>
      <c r="I33" s="227"/>
      <c r="J33" s="185"/>
      <c r="K33" s="185"/>
      <c r="L33" s="6"/>
      <c r="M33" s="281"/>
      <c r="N33" s="281"/>
      <c r="O33" s="3"/>
      <c r="P33" s="3"/>
      <c r="Q33" s="3"/>
    </row>
    <row r="34" spans="1:17" ht="15.75">
      <c r="C34" s="185"/>
      <c r="D34" s="6"/>
      <c r="E34" s="185"/>
      <c r="F34" s="541"/>
      <c r="G34" s="543"/>
      <c r="H34" s="543"/>
      <c r="I34" s="227"/>
      <c r="J34" s="185"/>
      <c r="K34" s="185"/>
      <c r="L34" s="6"/>
      <c r="M34" s="281"/>
      <c r="N34" s="281"/>
      <c r="O34" s="3"/>
      <c r="P34" s="3"/>
      <c r="Q34" s="3"/>
    </row>
    <row r="35" spans="1:17">
      <c r="C35" s="5"/>
      <c r="D35" s="5"/>
      <c r="E35" s="5"/>
      <c r="F35" s="5"/>
      <c r="G35" s="5"/>
      <c r="H35" s="5"/>
      <c r="I35" s="5"/>
      <c r="J35" s="5"/>
      <c r="K35" s="5"/>
      <c r="L35" s="5"/>
      <c r="P35" s="3"/>
      <c r="Q35" s="3"/>
    </row>
    <row r="36" spans="1:17" ht="21">
      <c r="A36" s="340"/>
      <c r="B36" s="340"/>
      <c r="C36" s="551" t="s">
        <v>242</v>
      </c>
      <c r="D36" s="551"/>
      <c r="E36" s="551"/>
      <c r="F36" s="551"/>
      <c r="G36" s="551"/>
      <c r="H36" s="551"/>
      <c r="I36" s="551"/>
      <c r="J36" s="551"/>
      <c r="K36" s="551"/>
      <c r="L36" s="23"/>
      <c r="M36" s="23"/>
      <c r="N36" s="23"/>
      <c r="O36" s="23"/>
      <c r="P36" s="6"/>
      <c r="Q36" s="3"/>
    </row>
    <row r="37" spans="1:17" ht="18.75">
      <c r="A37" s="6"/>
      <c r="B37" s="340"/>
      <c r="C37" s="180" t="s">
        <v>243</v>
      </c>
      <c r="D37" s="315">
        <v>6000</v>
      </c>
      <c r="E37" s="180" t="s">
        <v>194</v>
      </c>
      <c r="F37" s="185"/>
      <c r="G37" s="185"/>
      <c r="H37" s="341"/>
      <c r="I37" s="6"/>
      <c r="J37" s="342"/>
      <c r="K37" s="342"/>
      <c r="L37" s="342"/>
      <c r="M37" s="20"/>
      <c r="N37" s="20"/>
      <c r="O37" s="20"/>
      <c r="P37" s="6"/>
      <c r="Q37" s="3"/>
    </row>
    <row r="38" spans="1:17" ht="18.75">
      <c r="A38" s="340"/>
      <c r="B38" s="340"/>
      <c r="C38" s="396" t="s">
        <v>244</v>
      </c>
      <c r="D38" s="172"/>
      <c r="E38" s="180"/>
      <c r="F38" s="315">
        <v>291.39999999999998</v>
      </c>
      <c r="G38" s="185"/>
      <c r="H38" s="23"/>
      <c r="I38" s="23"/>
      <c r="J38" s="23"/>
      <c r="K38" s="23"/>
      <c r="L38" s="5"/>
      <c r="M38" s="5"/>
      <c r="N38" s="23"/>
      <c r="O38" s="23"/>
      <c r="P38" s="6"/>
      <c r="Q38" s="3"/>
    </row>
    <row r="39" spans="1:17" ht="15.75">
      <c r="A39" s="340"/>
      <c r="B39" s="340"/>
      <c r="C39" s="180" t="s">
        <v>245</v>
      </c>
      <c r="D39" s="180"/>
      <c r="E39" s="185"/>
      <c r="F39" s="536">
        <f>0.17*D37</f>
        <v>1020.0000000000001</v>
      </c>
      <c r="G39" s="185"/>
      <c r="H39" s="180" t="s">
        <v>248</v>
      </c>
      <c r="I39" s="180"/>
      <c r="J39" s="180"/>
      <c r="K39" s="536">
        <f>IF(0.43*D37-1.8*F40&lt;=K40,0.43*D37-1.8*F40,K40)</f>
        <v>1980</v>
      </c>
      <c r="L39" s="23"/>
      <c r="M39" s="23"/>
      <c r="N39" s="23"/>
      <c r="O39" s="3"/>
      <c r="P39" s="3"/>
    </row>
    <row r="40" spans="1:17" ht="18.75">
      <c r="A40" s="185"/>
      <c r="B40" s="185"/>
      <c r="C40" s="180" t="s">
        <v>246</v>
      </c>
      <c r="D40" s="180"/>
      <c r="E40" s="185"/>
      <c r="F40" s="536">
        <f>F41*1000/H44</f>
        <v>312.87320859872608</v>
      </c>
      <c r="G40" s="185"/>
      <c r="H40" s="180" t="s">
        <v>261</v>
      </c>
      <c r="I40" s="180"/>
      <c r="J40" s="330"/>
      <c r="K40" s="536">
        <f>0.33*D37</f>
        <v>1980</v>
      </c>
      <c r="L40" s="185" t="s">
        <v>194</v>
      </c>
      <c r="M40" s="185"/>
      <c r="N40" s="185"/>
      <c r="O40" s="3"/>
      <c r="P40" s="3"/>
    </row>
    <row r="41" spans="1:17" ht="15.75">
      <c r="A41" s="185"/>
      <c r="B41" s="185"/>
      <c r="C41" s="180" t="s">
        <v>247</v>
      </c>
      <c r="D41" s="180"/>
      <c r="E41" s="185"/>
      <c r="F41" s="315">
        <v>50.3</v>
      </c>
      <c r="G41" s="185"/>
      <c r="H41" s="180" t="s">
        <v>373</v>
      </c>
      <c r="I41" s="185"/>
      <c r="J41" s="185"/>
      <c r="K41" s="536">
        <f>F38*1000/H44</f>
        <v>1812.5497611464964</v>
      </c>
      <c r="L41" s="185"/>
      <c r="M41" s="185"/>
      <c r="N41" s="185"/>
      <c r="O41" s="3"/>
      <c r="P41" s="3"/>
    </row>
    <row r="42" spans="1:17" ht="16.5" thickBot="1">
      <c r="A42" s="185"/>
      <c r="B42" s="185"/>
      <c r="C42" s="180"/>
      <c r="D42" s="180"/>
      <c r="E42" s="185"/>
      <c r="F42" s="315"/>
      <c r="G42" s="185"/>
      <c r="H42" s="180"/>
      <c r="I42" s="185"/>
      <c r="J42" s="185"/>
      <c r="K42" s="536"/>
      <c r="L42" s="185"/>
      <c r="M42" s="185"/>
      <c r="N42" s="185"/>
      <c r="O42" s="3"/>
      <c r="P42" s="3"/>
    </row>
    <row r="43" spans="1:17" ht="17.25" thickTop="1" thickBot="1">
      <c r="A43" s="5"/>
      <c r="E43" s="453" t="s">
        <v>250</v>
      </c>
      <c r="F43" s="454" t="s">
        <v>251</v>
      </c>
      <c r="G43" s="453" t="s">
        <v>252</v>
      </c>
      <c r="H43" s="453" t="s">
        <v>0</v>
      </c>
      <c r="P43" s="3"/>
      <c r="Q43" s="3"/>
    </row>
    <row r="44" spans="1:17" ht="17.25" thickTop="1" thickBot="1">
      <c r="E44" s="453">
        <v>20</v>
      </c>
      <c r="F44" s="454">
        <v>32</v>
      </c>
      <c r="G44" s="455">
        <f>3.14*(F44/10)^2/4</f>
        <v>8.0384000000000011</v>
      </c>
      <c r="H44" s="453">
        <f>E44*G44</f>
        <v>160.76800000000003</v>
      </c>
      <c r="I44" s="162" t="s">
        <v>378</v>
      </c>
      <c r="J44" s="162"/>
      <c r="K44" s="162" t="s">
        <v>379</v>
      </c>
      <c r="L44" s="5"/>
      <c r="N44" s="20"/>
      <c r="O44" s="3"/>
      <c r="P44" s="3"/>
    </row>
    <row r="45" spans="1:17" ht="16.5" thickTop="1">
      <c r="E45" s="162"/>
      <c r="F45" s="227"/>
      <c r="G45" s="321"/>
      <c r="H45" s="162"/>
      <c r="I45" s="162"/>
      <c r="J45" s="162"/>
      <c r="K45" s="162"/>
      <c r="L45" s="5"/>
      <c r="N45" s="20"/>
      <c r="O45" s="3"/>
      <c r="P45" s="3"/>
    </row>
    <row r="46" spans="1:17" ht="15.75">
      <c r="E46" s="180" t="s">
        <v>380</v>
      </c>
      <c r="F46" s="538">
        <f>E44</f>
        <v>20</v>
      </c>
      <c r="G46" s="539" t="s">
        <v>381</v>
      </c>
      <c r="H46" s="540">
        <f>F44</f>
        <v>32</v>
      </c>
      <c r="I46" s="537" t="str">
        <f>IF(F40&lt;=F39,"OK","Retry")</f>
        <v>OK</v>
      </c>
      <c r="J46" s="43"/>
      <c r="K46" s="537" t="str">
        <f>IF(K41&lt;=K39,"OK","Retry")</f>
        <v>OK</v>
      </c>
      <c r="N46" s="43"/>
      <c r="O46" s="3"/>
      <c r="P46" s="3"/>
    </row>
    <row r="47" spans="1:17">
      <c r="A47" s="5"/>
      <c r="C47" s="5"/>
      <c r="D47" s="5"/>
      <c r="I47" s="5"/>
      <c r="J47" s="5"/>
      <c r="N47" s="4"/>
      <c r="P47" s="3"/>
      <c r="Q47" s="3"/>
    </row>
    <row r="48" spans="1:17">
      <c r="C48" s="5"/>
      <c r="K48" s="5"/>
      <c r="L48" s="5"/>
      <c r="M48" s="5"/>
      <c r="P48" s="3"/>
      <c r="Q48" s="3"/>
    </row>
    <row r="49" spans="3:17">
      <c r="C49" s="5"/>
      <c r="K49" s="5"/>
      <c r="L49" s="5"/>
      <c r="M49" s="5"/>
      <c r="P49" s="3"/>
      <c r="Q49" s="3"/>
    </row>
    <row r="50" spans="3:17">
      <c r="C50" s="5"/>
      <c r="K50" s="5"/>
      <c r="L50" s="5"/>
      <c r="M50" s="5"/>
      <c r="P50" s="3"/>
      <c r="Q50" s="3"/>
    </row>
    <row r="51" spans="3:17">
      <c r="C51" s="5"/>
      <c r="K51" s="5"/>
      <c r="L51" s="5"/>
      <c r="M51" s="5"/>
      <c r="P51" s="3"/>
      <c r="Q51" s="3"/>
    </row>
    <row r="52" spans="3:17" ht="15.75">
      <c r="E52" s="5"/>
      <c r="F52" s="5"/>
      <c r="G52" s="5"/>
      <c r="H52" s="5"/>
      <c r="K52" s="174"/>
      <c r="L52" s="5"/>
      <c r="M52" s="5"/>
      <c r="P52" s="3"/>
      <c r="Q52" s="3"/>
    </row>
    <row r="53" spans="3:17" ht="15.75">
      <c r="C53" s="555" t="s">
        <v>385</v>
      </c>
      <c r="D53" s="555"/>
      <c r="E53" s="555"/>
      <c r="F53" s="555"/>
      <c r="G53" s="555"/>
      <c r="H53" s="555"/>
      <c r="I53" s="555"/>
      <c r="J53" s="555"/>
      <c r="K53" s="555"/>
      <c r="L53" s="5"/>
      <c r="M53" s="5"/>
      <c r="Q53" s="3"/>
    </row>
    <row r="54" spans="3:17" ht="15.75">
      <c r="C54" s="5"/>
      <c r="D54" s="5"/>
      <c r="E54" s="5"/>
      <c r="F54" s="5"/>
      <c r="G54" s="5"/>
      <c r="H54" s="5"/>
      <c r="I54" s="174"/>
      <c r="J54" s="174"/>
      <c r="K54" s="162"/>
      <c r="L54" s="6"/>
      <c r="M54" s="6"/>
      <c r="Q54" s="3"/>
    </row>
    <row r="55" spans="3:17" ht="15.75">
      <c r="C55" s="5"/>
      <c r="D55" s="5"/>
      <c r="E55" s="6"/>
      <c r="F55" s="6"/>
      <c r="G55" s="6"/>
      <c r="I55" s="5"/>
      <c r="J55" s="162"/>
      <c r="K55" s="5"/>
      <c r="L55" s="6"/>
      <c r="M55" s="6"/>
      <c r="Q55" s="3"/>
    </row>
    <row r="56" spans="3:17" ht="15.75">
      <c r="C56" s="5"/>
      <c r="D56" s="535" t="s">
        <v>241</v>
      </c>
      <c r="E56" s="5"/>
      <c r="F56" s="5"/>
      <c r="G56" s="5"/>
      <c r="H56" s="5"/>
      <c r="I56" s="466" t="s">
        <v>384</v>
      </c>
      <c r="J56" s="5"/>
      <c r="K56" s="185"/>
      <c r="L56" s="6"/>
      <c r="M56" s="6"/>
      <c r="N56" s="3"/>
      <c r="O56" s="3"/>
      <c r="P56" s="3"/>
      <c r="Q56" s="3"/>
    </row>
    <row r="57" spans="3:17" ht="18.75">
      <c r="C57" s="6"/>
      <c r="D57" s="5"/>
      <c r="E57" s="172" t="s">
        <v>211</v>
      </c>
      <c r="F57" s="315">
        <v>240</v>
      </c>
      <c r="G57" s="185" t="s">
        <v>194</v>
      </c>
      <c r="H57" s="185"/>
      <c r="I57" s="5"/>
      <c r="J57" s="5"/>
      <c r="K57" s="185"/>
      <c r="L57" s="6"/>
      <c r="M57" s="6"/>
      <c r="N57" s="3"/>
      <c r="O57" s="3"/>
      <c r="P57" s="3"/>
      <c r="Q57" s="3"/>
    </row>
    <row r="58" spans="3:17" ht="18.75">
      <c r="C58" s="185"/>
      <c r="D58" s="185"/>
      <c r="E58" s="172" t="s">
        <v>119</v>
      </c>
      <c r="F58" s="315">
        <v>2400</v>
      </c>
      <c r="G58" s="185" t="s">
        <v>194</v>
      </c>
      <c r="H58" s="185"/>
      <c r="I58" s="162"/>
      <c r="J58" s="162"/>
      <c r="K58" s="185"/>
      <c r="L58" s="6"/>
      <c r="M58" s="6"/>
      <c r="N58" s="3"/>
      <c r="O58" s="3"/>
      <c r="P58" s="3"/>
      <c r="Q58" s="3"/>
    </row>
    <row r="59" spans="3:17" ht="15.75">
      <c r="C59" s="6"/>
      <c r="D59" s="185"/>
      <c r="E59" s="172" t="s">
        <v>113</v>
      </c>
      <c r="F59" s="315">
        <v>74.099999999999994</v>
      </c>
      <c r="G59" s="185" t="s">
        <v>27</v>
      </c>
      <c r="H59" s="185"/>
      <c r="I59" s="6"/>
      <c r="J59" s="6"/>
      <c r="K59" s="185"/>
      <c r="L59" s="6"/>
      <c r="M59" s="5"/>
      <c r="N59" s="3"/>
      <c r="O59" s="3"/>
      <c r="P59" s="3"/>
      <c r="Q59" s="3"/>
    </row>
    <row r="60" spans="3:17" ht="18.75">
      <c r="C60" s="6"/>
      <c r="D60" s="185"/>
      <c r="E60" s="172" t="s">
        <v>230</v>
      </c>
      <c r="F60" s="172" t="s">
        <v>383</v>
      </c>
      <c r="G60" s="227">
        <f>0.3*F57</f>
        <v>72</v>
      </c>
      <c r="H60" s="185" t="s">
        <v>194</v>
      </c>
      <c r="I60" s="185"/>
      <c r="J60" s="185"/>
      <c r="K60" s="185"/>
      <c r="L60" s="6"/>
      <c r="M60" s="5"/>
      <c r="N60" s="3"/>
      <c r="O60" s="3"/>
      <c r="P60" s="3"/>
      <c r="Q60" s="3"/>
    </row>
    <row r="61" spans="3:17" ht="15.75">
      <c r="C61" s="6"/>
      <c r="D61" s="185"/>
      <c r="E61" s="172" t="s">
        <v>231</v>
      </c>
      <c r="F61" s="315">
        <v>50</v>
      </c>
      <c r="G61" s="185" t="s">
        <v>24</v>
      </c>
      <c r="H61" s="185"/>
      <c r="I61" s="185"/>
      <c r="J61" s="185"/>
      <c r="K61" s="185"/>
      <c r="L61" s="6"/>
      <c r="M61" s="6"/>
      <c r="P61" s="3"/>
      <c r="Q61" s="3"/>
    </row>
    <row r="62" spans="3:17" ht="15.75">
      <c r="C62" s="6"/>
      <c r="D62" s="185"/>
      <c r="E62" s="172" t="s">
        <v>148</v>
      </c>
      <c r="F62" s="315">
        <v>50</v>
      </c>
      <c r="G62" s="185" t="s">
        <v>24</v>
      </c>
      <c r="H62" s="185"/>
      <c r="I62" s="185"/>
      <c r="J62" s="185"/>
      <c r="K62" s="185"/>
      <c r="L62" s="6"/>
      <c r="M62" s="6"/>
      <c r="P62" s="3"/>
      <c r="Q62" s="3"/>
    </row>
    <row r="63" spans="3:17" ht="15.75">
      <c r="C63" s="6"/>
      <c r="D63" s="185"/>
      <c r="E63" s="172" t="s">
        <v>232</v>
      </c>
      <c r="F63" s="315">
        <v>7.5</v>
      </c>
      <c r="G63" s="185" t="s">
        <v>24</v>
      </c>
      <c r="H63" s="5"/>
      <c r="I63" s="185"/>
      <c r="J63" s="185"/>
      <c r="K63" s="185"/>
      <c r="L63" s="6"/>
      <c r="M63" s="6"/>
      <c r="N63" s="3"/>
      <c r="O63" s="3"/>
      <c r="P63" s="3"/>
      <c r="Q63" s="3"/>
    </row>
    <row r="64" spans="3:17" ht="15.75">
      <c r="C64" s="6"/>
      <c r="D64" s="185"/>
      <c r="E64" s="5"/>
      <c r="F64" s="5"/>
      <c r="G64" s="5"/>
      <c r="H64" s="5"/>
      <c r="I64" s="5"/>
      <c r="J64" s="185"/>
      <c r="K64" s="185"/>
      <c r="L64" s="6"/>
      <c r="M64" s="6"/>
      <c r="N64" s="3"/>
      <c r="O64" s="3"/>
      <c r="P64" s="3"/>
    </row>
    <row r="65" spans="3:16" ht="15.75">
      <c r="C65" s="6"/>
      <c r="D65" s="185"/>
      <c r="E65" s="172" t="s">
        <v>233</v>
      </c>
      <c r="F65" s="162">
        <f>F61/2</f>
        <v>25</v>
      </c>
      <c r="G65" s="185"/>
      <c r="H65" s="227" t="s">
        <v>234</v>
      </c>
      <c r="I65" s="5"/>
      <c r="J65" s="185"/>
      <c r="K65" s="185"/>
      <c r="L65" s="6"/>
      <c r="M65" s="6"/>
      <c r="N65" s="3"/>
      <c r="O65" s="3"/>
      <c r="P65" s="3"/>
    </row>
    <row r="66" spans="3:16" ht="15.75">
      <c r="C66" s="6"/>
      <c r="D66" s="185"/>
      <c r="E66" s="172" t="s">
        <v>235</v>
      </c>
      <c r="F66" s="162">
        <f>F61/6</f>
        <v>8.3333333333333339</v>
      </c>
      <c r="G66" s="185"/>
      <c r="H66" s="162"/>
      <c r="I66" s="162"/>
      <c r="J66" s="185"/>
      <c r="K66" s="185"/>
      <c r="L66" s="6"/>
      <c r="M66" s="6"/>
      <c r="N66" s="3"/>
      <c r="O66" s="3"/>
      <c r="P66" s="3"/>
    </row>
    <row r="67" spans="3:16" ht="15.75">
      <c r="C67" s="6"/>
      <c r="D67" s="185"/>
      <c r="E67" s="185"/>
      <c r="F67" s="185"/>
      <c r="G67" s="185"/>
      <c r="H67" s="185"/>
      <c r="I67" s="162"/>
      <c r="J67" s="185"/>
      <c r="K67" s="185"/>
      <c r="L67" s="6"/>
      <c r="M67" s="172" t="s">
        <v>215</v>
      </c>
      <c r="N67" s="317">
        <f>IF(F74=1,E100,IF(F74=1.1,F100,IF(F74=1.2,G100,IF(F74=1.3,H100,IF(F74=1.4,I100,IF(F74=1.5,J100,IF(F74=1.6,K100,IF(F74=1.7,L100))))))))</f>
        <v>4.8000000000000001E-2</v>
      </c>
      <c r="O67" s="317" t="b">
        <f>IF(F74=1.8,M100,IF(F74=1.9,N100,IF(F74=2,O100,IF(F74&gt;2,P100))))</f>
        <v>0</v>
      </c>
      <c r="P67" s="3"/>
    </row>
    <row r="68" spans="3:16" ht="15.75">
      <c r="C68" s="6"/>
      <c r="D68" s="185"/>
      <c r="E68" s="172" t="s">
        <v>236</v>
      </c>
      <c r="F68" s="180" t="s">
        <v>237</v>
      </c>
      <c r="G68" s="172"/>
      <c r="H68" s="227">
        <f>(F59*1000/(F61*F62))*(1+(6*F63/F61))</f>
        <v>56.315999999999995</v>
      </c>
      <c r="I68" s="185"/>
      <c r="J68" s="5"/>
      <c r="K68" s="185"/>
      <c r="L68" s="6"/>
      <c r="M68" s="172" t="s">
        <v>216</v>
      </c>
      <c r="N68" s="319">
        <f>IF(F74=1,E101,IF(F74=1.1,F101,IF(F74=1.2,G101,IF(F74=1.3,H101,IF(F74=1.4,I101,IF(F74=1.5,J101,IF(F74=1.6,K101,IF(F74=1.7,L101))))))))</f>
        <v>4.8000000000000001E-2</v>
      </c>
      <c r="O68" s="317" t="b">
        <f>IF(F74=1.8,M101,IF(F74=1.9,N101,IF(F74=2,O101,IF(F74&gt;2,P101))))</f>
        <v>0</v>
      </c>
      <c r="P68" s="3"/>
    </row>
    <row r="69" spans="3:16" ht="15.75">
      <c r="C69" s="6"/>
      <c r="D69" s="185"/>
      <c r="E69" s="5"/>
      <c r="F69" s="5"/>
      <c r="G69" s="5"/>
      <c r="H69" s="185"/>
      <c r="I69" s="316" t="str">
        <f>IF(H68&lt;G60,"fp&lt;Fp  O.K", "fp&gt;Fp  N.G")</f>
        <v>fp&lt;Fp  O.K</v>
      </c>
      <c r="J69" s="185"/>
      <c r="K69" s="185"/>
      <c r="L69" s="6"/>
      <c r="M69" s="6"/>
      <c r="N69" s="3"/>
      <c r="O69" s="3"/>
      <c r="P69" s="3"/>
    </row>
    <row r="70" spans="3:16" ht="18.75">
      <c r="C70" s="6"/>
      <c r="D70" s="185"/>
      <c r="E70" s="172"/>
      <c r="F70" s="162" t="s">
        <v>238</v>
      </c>
      <c r="G70" s="162">
        <f>F61*F62</f>
        <v>2500</v>
      </c>
      <c r="H70" s="185" t="s">
        <v>213</v>
      </c>
      <c r="I70" s="185"/>
      <c r="J70" s="185"/>
      <c r="K70" s="185"/>
      <c r="L70" s="6"/>
      <c r="M70" s="6"/>
      <c r="N70" s="3"/>
      <c r="O70" s="3"/>
      <c r="P70" s="3"/>
    </row>
    <row r="71" spans="3:16" ht="15.75">
      <c r="C71" s="6"/>
      <c r="D71" s="185"/>
      <c r="E71" s="5"/>
      <c r="F71" s="5"/>
      <c r="G71" s="5"/>
      <c r="H71" s="185"/>
      <c r="I71" s="185"/>
      <c r="J71" s="185"/>
      <c r="K71" s="6"/>
      <c r="L71" s="6"/>
      <c r="M71" s="6"/>
      <c r="N71" s="318"/>
      <c r="O71" s="318"/>
      <c r="P71" s="3"/>
    </row>
    <row r="72" spans="3:16" ht="15.75">
      <c r="C72" s="6"/>
      <c r="D72" s="185"/>
      <c r="E72" s="172" t="s">
        <v>217</v>
      </c>
      <c r="F72" s="315">
        <v>24</v>
      </c>
      <c r="G72" s="185" t="s">
        <v>24</v>
      </c>
      <c r="H72" s="162" t="s">
        <v>218</v>
      </c>
      <c r="I72" s="185"/>
      <c r="J72" s="185"/>
      <c r="K72" s="185"/>
      <c r="L72" s="6"/>
      <c r="M72" s="6"/>
      <c r="N72" s="318"/>
      <c r="O72" s="318"/>
      <c r="P72" s="3"/>
    </row>
    <row r="73" spans="3:16" ht="15.75">
      <c r="C73" s="6"/>
      <c r="D73" s="185"/>
      <c r="E73" s="172" t="s">
        <v>135</v>
      </c>
      <c r="F73" s="315">
        <v>24</v>
      </c>
      <c r="G73" s="185" t="s">
        <v>24</v>
      </c>
      <c r="H73" s="162"/>
      <c r="I73" s="172" t="s">
        <v>215</v>
      </c>
      <c r="J73" s="227">
        <f>MAX(N67,O67)</f>
        <v>4.8000000000000001E-2</v>
      </c>
      <c r="K73" s="185"/>
      <c r="L73" s="6"/>
      <c r="M73" s="5">
        <f>F61*F62*J82*0.00785</f>
        <v>49.062499999999993</v>
      </c>
      <c r="P73" s="318"/>
    </row>
    <row r="74" spans="3:16" ht="15.75">
      <c r="C74" s="6"/>
      <c r="D74" s="185"/>
      <c r="E74" s="172" t="s">
        <v>219</v>
      </c>
      <c r="F74" s="320">
        <f>ROUND(F72/F73,1)</f>
        <v>1</v>
      </c>
      <c r="G74" s="185"/>
      <c r="H74" s="185"/>
      <c r="I74" s="172" t="s">
        <v>216</v>
      </c>
      <c r="J74" s="227">
        <f>MAX(N68,O68)</f>
        <v>4.8000000000000001E-2</v>
      </c>
      <c r="K74" s="185"/>
      <c r="L74" s="6"/>
      <c r="M74" s="5"/>
      <c r="P74" s="318"/>
    </row>
    <row r="75" spans="3:16" ht="15.75">
      <c r="C75" s="6"/>
      <c r="D75" s="185"/>
      <c r="E75" s="185"/>
      <c r="F75" s="185"/>
      <c r="G75" s="185"/>
      <c r="H75" s="185"/>
      <c r="I75" s="185"/>
      <c r="J75" s="162"/>
      <c r="K75" s="185"/>
      <c r="L75" s="6"/>
      <c r="M75" s="162"/>
      <c r="N75" s="319"/>
      <c r="O75" s="319"/>
      <c r="P75" s="319"/>
    </row>
    <row r="76" spans="3:16" ht="18.75">
      <c r="C76" s="6"/>
      <c r="D76" s="185"/>
      <c r="E76" s="172" t="s">
        <v>220</v>
      </c>
      <c r="F76" s="180" t="s">
        <v>221</v>
      </c>
      <c r="G76" s="227">
        <f>J73*H68*(F73)^2</f>
        <v>1557.0247679999998</v>
      </c>
      <c r="H76" s="6"/>
      <c r="I76" s="185"/>
      <c r="J76" s="162"/>
      <c r="K76" s="185"/>
      <c r="L76" s="6"/>
      <c r="M76" s="20"/>
      <c r="N76" s="317"/>
      <c r="O76" s="317"/>
      <c r="P76" s="319"/>
    </row>
    <row r="77" spans="3:16" ht="18.75">
      <c r="C77" s="6"/>
      <c r="D77" s="185"/>
      <c r="E77" s="172" t="s">
        <v>222</v>
      </c>
      <c r="F77" s="180" t="s">
        <v>223</v>
      </c>
      <c r="G77" s="227">
        <f>J74*H68*(F72)^2</f>
        <v>1557.0247679999998</v>
      </c>
      <c r="H77" s="6"/>
      <c r="I77" s="185"/>
      <c r="J77" s="185"/>
      <c r="K77" s="185"/>
      <c r="L77" s="6"/>
      <c r="M77" s="20"/>
      <c r="N77" s="317"/>
      <c r="O77" s="317"/>
      <c r="P77" s="319"/>
    </row>
    <row r="78" spans="3:16" ht="15.75">
      <c r="C78" s="6"/>
      <c r="D78" s="185"/>
      <c r="E78" s="185"/>
      <c r="F78" s="185"/>
      <c r="G78" s="185"/>
      <c r="H78" s="185"/>
      <c r="I78" s="185"/>
      <c r="J78" s="185"/>
      <c r="K78" s="185"/>
      <c r="L78" s="6"/>
      <c r="M78" s="206"/>
      <c r="N78" s="266"/>
      <c r="O78" s="266"/>
      <c r="P78" s="317"/>
    </row>
    <row r="79" spans="3:16" ht="15.75">
      <c r="C79" s="6"/>
      <c r="D79" s="185"/>
      <c r="E79" s="185" t="s">
        <v>224</v>
      </c>
      <c r="F79" s="227">
        <f>MAX(G76:G77)</f>
        <v>1557.0247679999998</v>
      </c>
      <c r="G79" s="185"/>
      <c r="H79" s="185"/>
      <c r="I79" s="5"/>
      <c r="J79" s="185"/>
      <c r="K79" s="185"/>
      <c r="L79" s="6"/>
      <c r="M79" s="206"/>
      <c r="N79" s="266"/>
      <c r="O79" s="266"/>
      <c r="P79" s="317"/>
    </row>
    <row r="80" spans="3:16" ht="15.75">
      <c r="C80" s="6"/>
      <c r="D80" s="185"/>
      <c r="E80" s="185"/>
      <c r="F80" s="185"/>
      <c r="G80" s="185"/>
      <c r="H80" s="185"/>
      <c r="I80" s="185"/>
      <c r="J80" s="185"/>
      <c r="K80" s="185" t="s">
        <v>24</v>
      </c>
      <c r="L80" s="6"/>
      <c r="M80" s="206"/>
      <c r="N80" s="23"/>
      <c r="O80" s="23"/>
      <c r="P80" s="266"/>
    </row>
    <row r="81" spans="3:16" ht="15.75">
      <c r="C81" s="6"/>
      <c r="D81" s="185"/>
      <c r="E81" s="162" t="s">
        <v>239</v>
      </c>
      <c r="F81" s="162"/>
      <c r="G81" s="322">
        <f>(6*F79/(0.75*F58))^0.5</f>
        <v>2.2781752698157356</v>
      </c>
      <c r="H81" s="185" t="s">
        <v>24</v>
      </c>
      <c r="I81" s="185"/>
      <c r="J81" s="185"/>
      <c r="K81" s="185"/>
      <c r="L81" s="6"/>
      <c r="M81" s="6"/>
      <c r="N81" s="185"/>
      <c r="O81" s="185"/>
      <c r="P81" s="266"/>
    </row>
    <row r="82" spans="3:16" ht="15.75">
      <c r="C82" s="6"/>
      <c r="D82" s="185"/>
      <c r="E82" s="185"/>
      <c r="F82" s="5"/>
      <c r="G82" s="5"/>
      <c r="H82" s="5"/>
      <c r="I82" s="172" t="s">
        <v>167</v>
      </c>
      <c r="J82" s="238">
        <v>2.5</v>
      </c>
      <c r="K82" s="185"/>
      <c r="L82" s="5"/>
      <c r="M82" s="5"/>
      <c r="P82" s="23"/>
    </row>
    <row r="83" spans="3:16" ht="15.75">
      <c r="C83" s="6"/>
      <c r="D83" s="185"/>
      <c r="E83" s="6"/>
      <c r="F83" s="323" t="str">
        <f>CONCATENATE(" USE PL  ",F62,"x",F61,"x",J82)</f>
        <v xml:space="preserve"> USE PL  50x50x2.5</v>
      </c>
      <c r="G83" s="324"/>
      <c r="H83" s="324"/>
      <c r="I83" s="327"/>
      <c r="J83" s="185"/>
      <c r="K83" s="5"/>
      <c r="P83" s="185"/>
    </row>
    <row r="84" spans="3:16" ht="15.75">
      <c r="C84" s="6"/>
      <c r="D84" s="185"/>
      <c r="E84" s="5"/>
      <c r="F84" s="5"/>
      <c r="G84" s="5"/>
      <c r="H84" s="5"/>
      <c r="I84" s="5"/>
      <c r="J84" s="185"/>
      <c r="K84" s="5"/>
    </row>
    <row r="85" spans="3:16" ht="21">
      <c r="C85" s="551" t="s">
        <v>242</v>
      </c>
      <c r="D85" s="551"/>
      <c r="E85" s="551"/>
      <c r="F85" s="551"/>
      <c r="G85" s="551"/>
      <c r="H85" s="551"/>
      <c r="I85" s="551"/>
      <c r="J85" s="551"/>
      <c r="K85" s="551"/>
      <c r="L85" s="23"/>
    </row>
    <row r="86" spans="3:16" ht="18.75">
      <c r="C86" s="180" t="s">
        <v>243</v>
      </c>
      <c r="D86" s="315">
        <v>5000</v>
      </c>
      <c r="E86" s="180" t="s">
        <v>194</v>
      </c>
      <c r="F86" s="185"/>
      <c r="G86" s="185"/>
      <c r="H86" s="341"/>
      <c r="I86" s="6"/>
      <c r="J86" s="342"/>
      <c r="K86" s="342"/>
      <c r="L86" s="342"/>
    </row>
    <row r="87" spans="3:16" ht="18.75">
      <c r="C87" s="396" t="s">
        <v>244</v>
      </c>
      <c r="D87" s="172"/>
      <c r="E87" s="180"/>
      <c r="F87" s="315">
        <v>55.65</v>
      </c>
      <c r="G87" s="185"/>
      <c r="H87" s="23"/>
      <c r="I87" s="23"/>
      <c r="J87" s="23"/>
      <c r="K87" s="23"/>
      <c r="L87" s="5"/>
    </row>
    <row r="88" spans="3:16" ht="15.75">
      <c r="C88" s="180" t="s">
        <v>245</v>
      </c>
      <c r="D88" s="180"/>
      <c r="E88" s="185"/>
      <c r="F88" s="536">
        <f>0.17*D86</f>
        <v>850.00000000000011</v>
      </c>
      <c r="G88" s="185"/>
      <c r="H88" s="180" t="s">
        <v>248</v>
      </c>
      <c r="I88" s="180"/>
      <c r="J88" s="180"/>
      <c r="K88" s="536">
        <f>IF(0.43*D86-1.8*F89&lt;=K89,0.43*D86-1.8*F89,K89)</f>
        <v>1133.9395899681531</v>
      </c>
      <c r="L88" s="23"/>
    </row>
    <row r="89" spans="3:16" ht="18.75">
      <c r="C89" s="180" t="s">
        <v>246</v>
      </c>
      <c r="D89" s="180"/>
      <c r="E89" s="185"/>
      <c r="F89" s="536">
        <f>F90*1000/H93</f>
        <v>564.47800557324831</v>
      </c>
      <c r="G89" s="185"/>
      <c r="H89" s="180" t="s">
        <v>261</v>
      </c>
      <c r="I89" s="180"/>
      <c r="J89" s="330"/>
      <c r="K89" s="536">
        <f>0.33*D86</f>
        <v>1650</v>
      </c>
      <c r="L89" s="185" t="s">
        <v>194</v>
      </c>
    </row>
    <row r="90" spans="3:16" ht="15.75">
      <c r="C90" s="180" t="s">
        <v>247</v>
      </c>
      <c r="D90" s="180"/>
      <c r="E90" s="185"/>
      <c r="F90" s="315">
        <v>36.299999999999997</v>
      </c>
      <c r="G90" s="185"/>
      <c r="H90" s="180" t="s">
        <v>373</v>
      </c>
      <c r="I90" s="185"/>
      <c r="J90" s="185"/>
      <c r="K90" s="536">
        <f>F87*1000/H93</f>
        <v>865.37743829617818</v>
      </c>
      <c r="L90" s="185"/>
    </row>
    <row r="91" spans="3:16" ht="16.5" thickBot="1">
      <c r="C91" s="180"/>
      <c r="D91" s="180"/>
      <c r="E91" s="185"/>
      <c r="F91" s="315"/>
      <c r="G91" s="185"/>
      <c r="H91" s="180"/>
      <c r="I91" s="185"/>
      <c r="J91" s="185"/>
      <c r="K91" s="536"/>
      <c r="L91" s="185"/>
    </row>
    <row r="92" spans="3:16" ht="17.25" thickTop="1" thickBot="1">
      <c r="E92" s="453" t="s">
        <v>250</v>
      </c>
      <c r="F92" s="454" t="s">
        <v>251</v>
      </c>
      <c r="G92" s="453" t="s">
        <v>252</v>
      </c>
      <c r="H92" s="453" t="s">
        <v>0</v>
      </c>
    </row>
    <row r="93" spans="3:16" ht="17.25" thickTop="1" thickBot="1">
      <c r="E93" s="453">
        <v>8</v>
      </c>
      <c r="F93" s="454">
        <v>32</v>
      </c>
      <c r="G93" s="455">
        <f>3.14*(F93/10)^2/4</f>
        <v>8.0384000000000011</v>
      </c>
      <c r="H93" s="453">
        <f>E93*G93</f>
        <v>64.307200000000009</v>
      </c>
      <c r="I93" s="162" t="s">
        <v>378</v>
      </c>
      <c r="J93" s="162"/>
      <c r="K93" s="162" t="s">
        <v>379</v>
      </c>
      <c r="L93" s="5"/>
    </row>
    <row r="94" spans="3:16" ht="16.5" thickTop="1">
      <c r="E94" s="162"/>
      <c r="F94" s="227"/>
      <c r="G94" s="321"/>
      <c r="H94" s="162"/>
      <c r="I94" s="162"/>
      <c r="J94" s="162"/>
      <c r="K94" s="162"/>
      <c r="L94" s="5"/>
    </row>
    <row r="95" spans="3:16" ht="15.75">
      <c r="E95" s="180" t="s">
        <v>380</v>
      </c>
      <c r="F95" s="538">
        <f>E93</f>
        <v>8</v>
      </c>
      <c r="G95" s="539" t="s">
        <v>381</v>
      </c>
      <c r="H95" s="540">
        <f>F93</f>
        <v>32</v>
      </c>
      <c r="I95" s="537" t="str">
        <f>IF(F89&lt;=F88,"OK","Retry")</f>
        <v>OK</v>
      </c>
      <c r="J95" s="43"/>
      <c r="K95" s="537" t="str">
        <f>IF(K90&lt;=K88,"OK","Retry")</f>
        <v>OK</v>
      </c>
    </row>
    <row r="96" spans="3:16">
      <c r="C96" s="6"/>
      <c r="D96" s="5"/>
      <c r="E96" s="5"/>
      <c r="F96" s="5"/>
      <c r="G96" s="5"/>
      <c r="H96" s="5"/>
      <c r="I96" s="5"/>
      <c r="J96" s="5"/>
      <c r="K96" s="5"/>
    </row>
    <row r="97" spans="3:16">
      <c r="C97" s="6"/>
    </row>
    <row r="98" spans="3:16">
      <c r="C98" s="6"/>
      <c r="D98" s="5"/>
      <c r="E98" s="5"/>
      <c r="F98" s="5"/>
      <c r="G98" s="5"/>
      <c r="H98" s="5"/>
      <c r="I98" s="5"/>
      <c r="J98" s="5"/>
      <c r="K98" s="5"/>
      <c r="L98" s="6"/>
      <c r="M98" s="6"/>
      <c r="N98" s="3"/>
      <c r="O98" s="3"/>
      <c r="P98" s="3"/>
    </row>
    <row r="99" spans="3:16" ht="15.75">
      <c r="C99" s="6"/>
      <c r="D99" s="325" t="s">
        <v>226</v>
      </c>
      <c r="E99" s="325">
        <v>1</v>
      </c>
      <c r="F99" s="326">
        <v>1.1000000000000001</v>
      </c>
      <c r="G99" s="326">
        <v>1.2</v>
      </c>
      <c r="H99" s="326">
        <v>1.3</v>
      </c>
      <c r="I99" s="326">
        <v>1.4</v>
      </c>
      <c r="J99" s="326">
        <v>1.5</v>
      </c>
      <c r="K99" s="326">
        <v>1.6</v>
      </c>
      <c r="L99" s="326">
        <v>1.7</v>
      </c>
      <c r="M99" s="326">
        <v>1.8</v>
      </c>
      <c r="N99" s="326">
        <v>1.9</v>
      </c>
      <c r="O99" s="326">
        <v>2</v>
      </c>
      <c r="P99" s="326" t="s">
        <v>227</v>
      </c>
    </row>
    <row r="100" spans="3:16" ht="15.75">
      <c r="C100" s="6"/>
      <c r="D100" s="325" t="s">
        <v>228</v>
      </c>
      <c r="E100" s="325">
        <v>4.8000000000000001E-2</v>
      </c>
      <c r="F100" s="326">
        <v>5.5E-2</v>
      </c>
      <c r="G100" s="326">
        <v>6.3E-2</v>
      </c>
      <c r="H100" s="326">
        <v>6.9000000000000006E-2</v>
      </c>
      <c r="I100" s="326">
        <v>7.4999999999999997E-2</v>
      </c>
      <c r="J100" s="326">
        <v>8.1000000000000003E-2</v>
      </c>
      <c r="K100" s="326">
        <v>8.5999999999999993E-2</v>
      </c>
      <c r="L100" s="326">
        <v>9.0999999999999998E-2</v>
      </c>
      <c r="M100" s="326">
        <v>9.4E-2</v>
      </c>
      <c r="N100" s="326">
        <v>9.8000000000000004E-2</v>
      </c>
      <c r="O100" s="326">
        <v>0.1</v>
      </c>
      <c r="P100" s="326">
        <v>0.125</v>
      </c>
    </row>
    <row r="101" spans="3:16" ht="15.75">
      <c r="C101" s="6"/>
      <c r="D101" s="325" t="s">
        <v>229</v>
      </c>
      <c r="E101" s="325">
        <v>4.8000000000000001E-2</v>
      </c>
      <c r="F101" s="326">
        <v>4.9000000000000002E-2</v>
      </c>
      <c r="G101" s="326">
        <v>0.05</v>
      </c>
      <c r="H101" s="326">
        <v>0.05</v>
      </c>
      <c r="I101" s="326">
        <v>0.05</v>
      </c>
      <c r="J101" s="326">
        <v>0.05</v>
      </c>
      <c r="K101" s="326">
        <v>4.9000000000000002E-2</v>
      </c>
      <c r="L101" s="326">
        <v>4.8000000000000001E-2</v>
      </c>
      <c r="M101" s="326">
        <v>4.8000000000000001E-2</v>
      </c>
      <c r="N101" s="326">
        <v>4.7E-2</v>
      </c>
      <c r="O101" s="326">
        <v>4.5999999999999999E-2</v>
      </c>
      <c r="P101" s="326">
        <v>3.6999999999999998E-2</v>
      </c>
    </row>
    <row r="102" spans="3:16">
      <c r="C102" s="3"/>
      <c r="P102" s="3"/>
    </row>
    <row r="103" spans="3:16">
      <c r="P103" s="3"/>
    </row>
    <row r="106" spans="3:16" ht="15.75">
      <c r="C106" s="281"/>
    </row>
  </sheetData>
  <mergeCells count="6">
    <mergeCell ref="C85:K85"/>
    <mergeCell ref="C53:K53"/>
    <mergeCell ref="C9:K9"/>
    <mergeCell ref="P24:Q24"/>
    <mergeCell ref="P25:Q25"/>
    <mergeCell ref="C36:K36"/>
  </mergeCells>
  <pageMargins left="0.7" right="0.7" top="0.75" bottom="0.75" header="0.3" footer="0.3"/>
  <pageSetup paperSize="9" scale="81" orientation="portrait" r:id="rId1"/>
  <rowBreaks count="1" manualBreakCount="1">
    <brk id="48" max="17" man="1"/>
  </rowBreaks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T64"/>
  <sheetViews>
    <sheetView topLeftCell="A32" workbookViewId="0">
      <selection activeCell="L49" sqref="L49"/>
    </sheetView>
  </sheetViews>
  <sheetFormatPr defaultRowHeight="12.75"/>
  <cols>
    <col min="1" max="7" width="5.7109375" customWidth="1"/>
    <col min="8" max="8" width="7.7109375" customWidth="1"/>
    <col min="9" max="9" width="5.7109375" customWidth="1"/>
    <col min="10" max="10" width="8.28515625" customWidth="1"/>
    <col min="11" max="13" width="6.7109375" customWidth="1"/>
    <col min="14" max="14" width="5.7109375" customWidth="1"/>
  </cols>
  <sheetData>
    <row r="1" spans="1:20" ht="35.25">
      <c r="A1" s="192"/>
      <c r="B1" s="28"/>
      <c r="C1" s="28"/>
      <c r="D1" s="442"/>
      <c r="E1" s="443" t="s">
        <v>19</v>
      </c>
      <c r="F1" s="442"/>
      <c r="G1" s="442"/>
      <c r="H1" s="443" t="s">
        <v>20</v>
      </c>
      <c r="I1" s="442"/>
      <c r="J1" s="418" t="s">
        <v>155</v>
      </c>
      <c r="K1" s="442"/>
      <c r="L1" s="28"/>
      <c r="M1" s="28"/>
      <c r="N1" s="28"/>
      <c r="O1" s="12"/>
      <c r="P1" s="12"/>
      <c r="Q1" s="36"/>
      <c r="R1" s="27"/>
      <c r="S1" s="27"/>
      <c r="T1" s="27"/>
    </row>
    <row r="2" spans="1:20" ht="15.75">
      <c r="A2" s="48" t="s">
        <v>177</v>
      </c>
      <c r="B2" s="124" t="s">
        <v>22</v>
      </c>
      <c r="C2" s="124" t="s">
        <v>13</v>
      </c>
      <c r="D2" s="124" t="s">
        <v>14</v>
      </c>
      <c r="E2" s="124" t="s">
        <v>86</v>
      </c>
      <c r="F2" s="124" t="s">
        <v>15</v>
      </c>
      <c r="G2" s="124" t="s">
        <v>16</v>
      </c>
      <c r="H2" s="124" t="s">
        <v>17</v>
      </c>
      <c r="I2" s="124" t="s">
        <v>0</v>
      </c>
      <c r="J2" s="124" t="s">
        <v>18</v>
      </c>
      <c r="K2" s="124" t="s">
        <v>126</v>
      </c>
      <c r="L2" s="124" t="s">
        <v>127</v>
      </c>
      <c r="M2" s="124" t="s">
        <v>130</v>
      </c>
      <c r="N2" s="124" t="s">
        <v>133</v>
      </c>
      <c r="O2" s="26"/>
      <c r="P2" s="3"/>
      <c r="Q2" s="3"/>
      <c r="R2" s="27"/>
      <c r="S2" s="27"/>
      <c r="T2" s="27"/>
    </row>
    <row r="3" spans="1:20" ht="15">
      <c r="A3" s="30">
        <v>1</v>
      </c>
      <c r="B3" s="29" t="s">
        <v>6</v>
      </c>
      <c r="C3" s="29">
        <v>8</v>
      </c>
      <c r="D3" s="29">
        <v>4.5999999999999996</v>
      </c>
      <c r="E3" s="29">
        <v>0.38</v>
      </c>
      <c r="F3" s="29">
        <v>0.52</v>
      </c>
      <c r="G3" s="29">
        <v>0.5</v>
      </c>
      <c r="H3" s="29">
        <v>5.9</v>
      </c>
      <c r="I3" s="29">
        <v>7.64</v>
      </c>
      <c r="J3" s="29">
        <v>6</v>
      </c>
      <c r="K3" s="29">
        <v>80.099999999999994</v>
      </c>
      <c r="L3" s="29">
        <v>20</v>
      </c>
      <c r="M3" s="29">
        <v>8.49</v>
      </c>
      <c r="N3" s="29">
        <v>3.69</v>
      </c>
      <c r="O3" s="26"/>
      <c r="P3" s="136">
        <v>1</v>
      </c>
      <c r="Q3" s="31">
        <v>80</v>
      </c>
      <c r="T3" s="27"/>
    </row>
    <row r="4" spans="1:20" ht="15">
      <c r="A4" s="30">
        <v>2</v>
      </c>
      <c r="B4" s="32" t="s">
        <v>4</v>
      </c>
      <c r="C4" s="32">
        <v>10</v>
      </c>
      <c r="D4" s="32">
        <v>5.5</v>
      </c>
      <c r="E4" s="32">
        <v>0.41</v>
      </c>
      <c r="F4" s="32">
        <v>0.56999999999999995</v>
      </c>
      <c r="G4" s="32">
        <v>0.7</v>
      </c>
      <c r="H4" s="32">
        <v>7.4</v>
      </c>
      <c r="I4" s="32">
        <v>10.3</v>
      </c>
      <c r="J4" s="32">
        <v>8.1</v>
      </c>
      <c r="K4" s="32">
        <v>171</v>
      </c>
      <c r="L4" s="32">
        <v>34.200000000000003</v>
      </c>
      <c r="M4" s="32">
        <v>15.9</v>
      </c>
      <c r="N4" s="32">
        <v>5.79</v>
      </c>
      <c r="O4" s="26"/>
      <c r="P4" s="136">
        <v>2</v>
      </c>
      <c r="Q4" s="31">
        <v>100</v>
      </c>
      <c r="T4" s="27"/>
    </row>
    <row r="5" spans="1:20" ht="15">
      <c r="A5" s="30">
        <v>3</v>
      </c>
      <c r="B5" s="29" t="s">
        <v>5</v>
      </c>
      <c r="C5" s="29">
        <v>12</v>
      </c>
      <c r="D5" s="29">
        <v>6.4</v>
      </c>
      <c r="E5" s="29">
        <v>0.44</v>
      </c>
      <c r="F5" s="29">
        <v>0.63</v>
      </c>
      <c r="G5" s="29">
        <v>0.7</v>
      </c>
      <c r="H5" s="29">
        <v>9.3000000000000007</v>
      </c>
      <c r="I5" s="29">
        <v>13.2</v>
      </c>
      <c r="J5" s="29">
        <v>10.4</v>
      </c>
      <c r="K5" s="29">
        <v>318</v>
      </c>
      <c r="L5" s="29">
        <v>53</v>
      </c>
      <c r="M5" s="29">
        <v>27.7</v>
      </c>
      <c r="N5" s="29">
        <v>8.65</v>
      </c>
      <c r="O5" s="26"/>
      <c r="P5" s="136">
        <v>3</v>
      </c>
      <c r="Q5" s="31">
        <v>120</v>
      </c>
      <c r="T5" s="27"/>
    </row>
    <row r="6" spans="1:20" ht="15">
      <c r="A6" s="30">
        <v>4</v>
      </c>
      <c r="B6" s="32" t="s">
        <v>23</v>
      </c>
      <c r="C6" s="32">
        <v>14</v>
      </c>
      <c r="D6" s="32">
        <v>7.3</v>
      </c>
      <c r="E6" s="32">
        <v>0.47</v>
      </c>
      <c r="F6" s="32">
        <v>0.69</v>
      </c>
      <c r="G6" s="32">
        <v>0.7</v>
      </c>
      <c r="H6" s="32">
        <v>11.2</v>
      </c>
      <c r="I6" s="32">
        <v>16.399999999999999</v>
      </c>
      <c r="J6" s="32">
        <v>12.9</v>
      </c>
      <c r="K6" s="32">
        <v>541</v>
      </c>
      <c r="L6" s="32">
        <v>77.3</v>
      </c>
      <c r="M6" s="32">
        <v>44.9</v>
      </c>
      <c r="N6" s="32">
        <v>12.3</v>
      </c>
      <c r="O6" s="26"/>
      <c r="P6" s="136">
        <v>4</v>
      </c>
      <c r="Q6" s="31">
        <v>140</v>
      </c>
      <c r="T6" s="27"/>
    </row>
    <row r="7" spans="1:20" ht="15">
      <c r="A7" s="30">
        <v>5</v>
      </c>
      <c r="B7" s="29" t="s">
        <v>1</v>
      </c>
      <c r="C7" s="29">
        <v>16</v>
      </c>
      <c r="D7" s="29">
        <v>8.1999999999999993</v>
      </c>
      <c r="E7" s="29">
        <v>0.5</v>
      </c>
      <c r="F7" s="29">
        <v>0.74</v>
      </c>
      <c r="G7" s="29">
        <v>0.9</v>
      </c>
      <c r="H7" s="29">
        <v>12.7</v>
      </c>
      <c r="I7" s="29">
        <v>20.100000000000001</v>
      </c>
      <c r="J7" s="29">
        <v>15.8</v>
      </c>
      <c r="K7" s="29">
        <v>869</v>
      </c>
      <c r="L7" s="29">
        <v>109</v>
      </c>
      <c r="M7" s="29">
        <v>68.3</v>
      </c>
      <c r="N7" s="29">
        <v>16.7</v>
      </c>
      <c r="O7" s="26"/>
      <c r="P7" s="136">
        <v>5</v>
      </c>
      <c r="Q7" s="31">
        <v>160</v>
      </c>
      <c r="T7" s="27"/>
    </row>
    <row r="8" spans="1:20" ht="15">
      <c r="A8" s="30">
        <v>6</v>
      </c>
      <c r="B8" s="32" t="s">
        <v>2</v>
      </c>
      <c r="C8" s="32">
        <v>18</v>
      </c>
      <c r="D8" s="32">
        <v>9.1</v>
      </c>
      <c r="E8" s="32">
        <v>0.53</v>
      </c>
      <c r="F8" s="32">
        <v>0.8</v>
      </c>
      <c r="G8" s="32">
        <v>0.9</v>
      </c>
      <c r="H8" s="32">
        <v>14.6</v>
      </c>
      <c r="I8" s="32">
        <v>23.9</v>
      </c>
      <c r="J8" s="32">
        <v>18.8</v>
      </c>
      <c r="K8" s="32">
        <v>1320</v>
      </c>
      <c r="L8" s="32">
        <v>146</v>
      </c>
      <c r="M8" s="32">
        <v>101</v>
      </c>
      <c r="N8" s="32">
        <v>22.2</v>
      </c>
      <c r="O8" s="26"/>
      <c r="P8" s="136">
        <v>6</v>
      </c>
      <c r="Q8" s="31">
        <v>180</v>
      </c>
      <c r="T8" s="27"/>
    </row>
    <row r="9" spans="1:20" ht="15">
      <c r="A9" s="30">
        <v>7</v>
      </c>
      <c r="B9" s="29" t="s">
        <v>3</v>
      </c>
      <c r="C9" s="29">
        <v>20</v>
      </c>
      <c r="D9" s="29">
        <v>10</v>
      </c>
      <c r="E9" s="29">
        <v>0.56000000000000005</v>
      </c>
      <c r="F9" s="29">
        <v>0.85</v>
      </c>
      <c r="G9" s="29">
        <v>1.2</v>
      </c>
      <c r="H9" s="29">
        <v>15.9</v>
      </c>
      <c r="I9" s="29">
        <v>28.5</v>
      </c>
      <c r="J9" s="29">
        <v>22.4</v>
      </c>
      <c r="K9" s="29">
        <v>1940</v>
      </c>
      <c r="L9" s="29">
        <v>194</v>
      </c>
      <c r="M9" s="29">
        <v>142</v>
      </c>
      <c r="N9" s="29">
        <v>28.5</v>
      </c>
      <c r="O9" s="26"/>
      <c r="P9" s="136">
        <v>7</v>
      </c>
      <c r="Q9" s="31">
        <v>200</v>
      </c>
      <c r="T9" s="27"/>
    </row>
    <row r="10" spans="1:20" ht="15">
      <c r="A10" s="30">
        <v>8</v>
      </c>
      <c r="B10" s="32" t="s">
        <v>7</v>
      </c>
      <c r="C10" s="32">
        <v>22</v>
      </c>
      <c r="D10" s="32">
        <v>11</v>
      </c>
      <c r="E10" s="32">
        <v>0.59</v>
      </c>
      <c r="F10" s="32">
        <v>0.92</v>
      </c>
      <c r="G10" s="32">
        <v>1.2</v>
      </c>
      <c r="H10" s="32">
        <v>17.7</v>
      </c>
      <c r="I10" s="32">
        <v>33.4</v>
      </c>
      <c r="J10" s="32">
        <v>26.2</v>
      </c>
      <c r="K10" s="32">
        <v>2770</v>
      </c>
      <c r="L10" s="32">
        <v>252</v>
      </c>
      <c r="M10" s="32">
        <v>205</v>
      </c>
      <c r="N10" s="32">
        <v>37.299999999999997</v>
      </c>
      <c r="O10" s="26"/>
      <c r="P10" s="136">
        <v>8</v>
      </c>
      <c r="Q10" s="31">
        <v>220</v>
      </c>
      <c r="T10" s="27"/>
    </row>
    <row r="11" spans="1:20" ht="15">
      <c r="A11" s="30">
        <v>9</v>
      </c>
      <c r="B11" s="29" t="s">
        <v>8</v>
      </c>
      <c r="C11" s="29">
        <v>24</v>
      </c>
      <c r="D11" s="29">
        <v>12</v>
      </c>
      <c r="E11" s="29">
        <v>0.62</v>
      </c>
      <c r="F11" s="29">
        <v>0.98</v>
      </c>
      <c r="G11" s="29">
        <v>1.5</v>
      </c>
      <c r="H11" s="29">
        <v>19</v>
      </c>
      <c r="I11" s="29">
        <v>39.1</v>
      </c>
      <c r="J11" s="29">
        <v>30.7</v>
      </c>
      <c r="K11" s="29">
        <v>3890</v>
      </c>
      <c r="L11" s="29">
        <v>324</v>
      </c>
      <c r="M11" s="29">
        <v>284</v>
      </c>
      <c r="N11" s="29">
        <v>47.3</v>
      </c>
      <c r="O11" s="26"/>
      <c r="P11" s="136">
        <v>9</v>
      </c>
      <c r="Q11" s="31">
        <v>240</v>
      </c>
      <c r="T11" s="27"/>
    </row>
    <row r="12" spans="1:20" ht="15">
      <c r="A12" s="30">
        <v>10</v>
      </c>
      <c r="B12" s="32" t="s">
        <v>9</v>
      </c>
      <c r="C12" s="32">
        <v>27</v>
      </c>
      <c r="D12" s="32">
        <v>13.5</v>
      </c>
      <c r="E12" s="32">
        <v>0.66</v>
      </c>
      <c r="F12" s="32">
        <v>1.02</v>
      </c>
      <c r="G12" s="32">
        <v>1.5</v>
      </c>
      <c r="H12" s="32">
        <v>21.9</v>
      </c>
      <c r="I12" s="32">
        <v>45.9</v>
      </c>
      <c r="J12" s="32">
        <v>36.1</v>
      </c>
      <c r="K12" s="32">
        <v>5790</v>
      </c>
      <c r="L12" s="32">
        <v>429</v>
      </c>
      <c r="M12" s="32">
        <v>420</v>
      </c>
      <c r="N12" s="32">
        <v>62.2</v>
      </c>
      <c r="O12" s="26"/>
      <c r="P12" s="136">
        <v>10</v>
      </c>
      <c r="Q12" s="31">
        <v>270</v>
      </c>
      <c r="T12" s="27"/>
    </row>
    <row r="13" spans="1:20" ht="15">
      <c r="A13" s="30">
        <v>11</v>
      </c>
      <c r="B13" s="29" t="s">
        <v>10</v>
      </c>
      <c r="C13" s="29">
        <v>30</v>
      </c>
      <c r="D13" s="29">
        <v>15</v>
      </c>
      <c r="E13" s="29">
        <v>0.71</v>
      </c>
      <c r="F13" s="29">
        <v>1.07</v>
      </c>
      <c r="G13" s="29">
        <v>1.5</v>
      </c>
      <c r="H13" s="29">
        <v>24.8</v>
      </c>
      <c r="I13" s="29">
        <v>53.8</v>
      </c>
      <c r="J13" s="29">
        <v>42.2</v>
      </c>
      <c r="K13" s="29">
        <v>8360</v>
      </c>
      <c r="L13" s="29">
        <v>557</v>
      </c>
      <c r="M13" s="29">
        <v>604</v>
      </c>
      <c r="N13" s="29">
        <v>80.5</v>
      </c>
      <c r="O13" s="26"/>
      <c r="P13" s="136">
        <v>11</v>
      </c>
      <c r="Q13" s="31">
        <v>300</v>
      </c>
      <c r="T13" s="27"/>
    </row>
    <row r="14" spans="1:20" ht="15">
      <c r="A14" s="30">
        <v>12</v>
      </c>
      <c r="B14" s="32" t="s">
        <v>11</v>
      </c>
      <c r="C14" s="32">
        <v>33</v>
      </c>
      <c r="D14" s="32">
        <v>16</v>
      </c>
      <c r="E14" s="32">
        <v>0.75</v>
      </c>
      <c r="F14" s="32">
        <v>1.1499999999999999</v>
      </c>
      <c r="G14" s="32">
        <v>1.8</v>
      </c>
      <c r="H14" s="32">
        <v>27.1</v>
      </c>
      <c r="I14" s="32">
        <v>62.6</v>
      </c>
      <c r="J14" s="32">
        <v>49.1</v>
      </c>
      <c r="K14" s="32">
        <v>11770</v>
      </c>
      <c r="L14" s="32">
        <v>713</v>
      </c>
      <c r="M14" s="32">
        <v>788</v>
      </c>
      <c r="N14" s="32">
        <v>98.5</v>
      </c>
      <c r="O14" s="26"/>
      <c r="P14" s="136">
        <v>12</v>
      </c>
      <c r="Q14" s="31">
        <v>330</v>
      </c>
      <c r="T14" s="27"/>
    </row>
    <row r="15" spans="1:20" ht="15">
      <c r="A15" s="30">
        <v>13</v>
      </c>
      <c r="B15" s="29" t="s">
        <v>12</v>
      </c>
      <c r="C15" s="29">
        <v>36</v>
      </c>
      <c r="D15" s="29">
        <v>17</v>
      </c>
      <c r="E15" s="29">
        <v>0.8</v>
      </c>
      <c r="F15" s="29">
        <v>1.27</v>
      </c>
      <c r="G15" s="29">
        <v>1.8</v>
      </c>
      <c r="H15" s="29">
        <v>29.8</v>
      </c>
      <c r="I15" s="29">
        <v>72.7</v>
      </c>
      <c r="J15" s="29">
        <v>57.1</v>
      </c>
      <c r="K15" s="29">
        <v>16270</v>
      </c>
      <c r="L15" s="29">
        <v>904</v>
      </c>
      <c r="M15" s="29">
        <v>1040</v>
      </c>
      <c r="N15" s="29">
        <v>123</v>
      </c>
      <c r="O15" s="26"/>
      <c r="P15" s="136">
        <v>13</v>
      </c>
      <c r="Q15" s="31">
        <v>360</v>
      </c>
      <c r="T15" s="27"/>
    </row>
    <row r="16" spans="1:20" ht="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93"/>
      <c r="Q16" s="36"/>
      <c r="T16" s="27"/>
    </row>
    <row r="17" spans="1:20" ht="18.75">
      <c r="A17" s="194"/>
      <c r="B17" s="24" t="s">
        <v>39</v>
      </c>
      <c r="C17" s="20"/>
      <c r="D17" s="23"/>
      <c r="E17" s="44">
        <v>2</v>
      </c>
      <c r="F17" s="419" t="s">
        <v>177</v>
      </c>
      <c r="G17" s="420">
        <v>4</v>
      </c>
      <c r="H17" s="195"/>
      <c r="I17" s="195" t="s">
        <v>178</v>
      </c>
      <c r="J17" s="6"/>
      <c r="K17" s="23"/>
      <c r="L17" s="23"/>
      <c r="M17" s="23"/>
      <c r="N17" s="194"/>
      <c r="O17" s="193"/>
      <c r="P17" s="36" t="s">
        <v>71</v>
      </c>
      <c r="Q17" s="36">
        <f>IF(G17=1,Q3,IF(G17=2,Q4,IF(G17=3,Q5,IF(G17=4,Q6,IF(G17=5,Q7,IF(G17=6,Q8,IF(G17=7,Q9,IF(G17=8,Q10))))))))</f>
        <v>140</v>
      </c>
      <c r="R17" s="35" t="s">
        <v>170</v>
      </c>
      <c r="S17" s="38">
        <f>IF(G17=1,C3,IF(G17=2,C4,IF(G17=3,C5,IF(G17=4,C6,IF(G17=5,C7,IF(G17=6,C8,IF(G17=7,C9,IF(G17=8,C10))))))))</f>
        <v>14</v>
      </c>
      <c r="T17" s="39"/>
    </row>
    <row r="18" spans="1:20" ht="15.75" thickBot="1">
      <c r="A18" s="3"/>
      <c r="B18" s="3"/>
      <c r="C18" s="3"/>
      <c r="D18" s="3"/>
      <c r="E18" s="3"/>
      <c r="F18" s="3"/>
      <c r="G18" s="3"/>
      <c r="H18" s="6"/>
      <c r="I18" s="6"/>
      <c r="J18" s="6"/>
      <c r="K18" s="6"/>
      <c r="L18" s="6"/>
      <c r="M18" s="6"/>
      <c r="N18" s="3"/>
      <c r="O18" s="3"/>
      <c r="P18" s="36"/>
      <c r="Q18" s="36" t="b">
        <f>IF(G17=9,Q11,IF(G17=10,Q12,IF(G17=11,Q13,IF(G17=12,Q14,IF(G17=13,Q15)))))</f>
        <v>0</v>
      </c>
      <c r="R18" s="36"/>
      <c r="S18" s="38" t="b">
        <f>IF(G17=9,C11,IF(G17=10,C12,IF(G17=11,C13,IF(G17=12,C14,IF(G17=13,C15)))))</f>
        <v>0</v>
      </c>
      <c r="T18" s="39"/>
    </row>
    <row r="19" spans="1:20" ht="16.5" thickTop="1">
      <c r="A19" s="196" t="s">
        <v>176</v>
      </c>
      <c r="B19" s="51"/>
      <c r="C19" s="51"/>
      <c r="D19" s="51"/>
      <c r="E19" s="429"/>
      <c r="F19" s="158"/>
      <c r="G19" s="51"/>
      <c r="H19" s="51"/>
      <c r="I19" s="421"/>
      <c r="J19" s="421"/>
      <c r="K19" s="421"/>
      <c r="L19" s="421"/>
      <c r="M19" s="52"/>
      <c r="N19" s="53"/>
      <c r="O19" s="6"/>
      <c r="P19" s="36"/>
      <c r="Q19" s="115"/>
      <c r="R19" s="37"/>
      <c r="S19" s="37"/>
      <c r="T19" s="40"/>
    </row>
    <row r="20" spans="1:20" ht="15.75">
      <c r="A20" s="54" t="s">
        <v>114</v>
      </c>
      <c r="B20" s="44">
        <v>310</v>
      </c>
      <c r="C20" s="22" t="s">
        <v>70</v>
      </c>
      <c r="D20" s="20"/>
      <c r="E20" s="21" t="s">
        <v>116</v>
      </c>
      <c r="F20" s="44">
        <v>1</v>
      </c>
      <c r="G20" s="3"/>
      <c r="H20" s="21" t="s">
        <v>113</v>
      </c>
      <c r="I20" s="44">
        <v>243</v>
      </c>
      <c r="J20" s="23" t="s">
        <v>115</v>
      </c>
      <c r="K20" s="422"/>
      <c r="L20" s="3"/>
      <c r="M20" s="22"/>
      <c r="N20" s="55"/>
      <c r="O20" s="6"/>
      <c r="P20" s="36" t="s">
        <v>126</v>
      </c>
      <c r="Q20" s="36">
        <f>IF(G17=1,K3,IF(G17=2,K4,IF(G17=3,K5,IF(G17=4,K6,IF(G17=5,K7,IF(G17=6,K8,IF(G17=7,K9,IF(G17=8,K10))))))))</f>
        <v>541</v>
      </c>
      <c r="R20" s="27"/>
      <c r="S20" s="36"/>
      <c r="T20" s="40"/>
    </row>
    <row r="21" spans="1:20" ht="15.75">
      <c r="A21" s="54" t="s">
        <v>119</v>
      </c>
      <c r="B21" s="44">
        <v>2400</v>
      </c>
      <c r="C21" s="23" t="s">
        <v>150</v>
      </c>
      <c r="D21" s="20"/>
      <c r="E21" s="21" t="s">
        <v>117</v>
      </c>
      <c r="F21" s="44">
        <v>1</v>
      </c>
      <c r="G21" s="160"/>
      <c r="H21" s="3"/>
      <c r="I21" s="3"/>
      <c r="J21" s="160"/>
      <c r="K21" s="160"/>
      <c r="L21" s="23"/>
      <c r="N21" s="55"/>
      <c r="O21" s="6"/>
      <c r="P21" s="36"/>
      <c r="Q21" s="36" t="b">
        <f>IF(G17=9,K11,IF(G17=10,K12,IF(G17=11,K13,IF(G17=12,K14,IF(G17=13,K15,IF(G17=14,K16,IF(G17=15,K17)))))))</f>
        <v>0</v>
      </c>
      <c r="R21" s="27"/>
      <c r="S21" s="36"/>
      <c r="T21" s="40"/>
    </row>
    <row r="22" spans="1:20" ht="15.75">
      <c r="A22" s="54" t="s">
        <v>120</v>
      </c>
      <c r="B22" s="43">
        <f>F22*B21</f>
        <v>1440</v>
      </c>
      <c r="C22" s="20" t="s">
        <v>121</v>
      </c>
      <c r="D22" s="160"/>
      <c r="E22" s="21" t="s">
        <v>32</v>
      </c>
      <c r="F22" s="44">
        <v>0.6</v>
      </c>
      <c r="G22" s="160"/>
      <c r="H22" s="23"/>
      <c r="I22" s="23"/>
      <c r="J22" s="23"/>
      <c r="K22" s="43"/>
      <c r="L22" s="23"/>
      <c r="M22" s="160"/>
      <c r="N22" s="55"/>
      <c r="O22" s="6"/>
      <c r="P22" s="36" t="s">
        <v>127</v>
      </c>
      <c r="Q22" s="36">
        <f>IF(G17=1,L3,IF(G17=2,L4,IF(G17=3,L5,IF(G17=4,L6,IF(G17=5,L7,IF(G17=6,L8,IF(G17=7,L9,IF(G17=8,L10))))))))</f>
        <v>77.3</v>
      </c>
      <c r="R22" s="27"/>
      <c r="S22" s="36"/>
      <c r="T22" s="40"/>
    </row>
    <row r="23" spans="1:20" ht="19.5">
      <c r="A23" s="161"/>
      <c r="B23" s="160"/>
      <c r="C23" s="160"/>
      <c r="D23" s="160"/>
      <c r="E23" s="160"/>
      <c r="F23" s="160"/>
      <c r="G23" s="160"/>
      <c r="H23" s="423"/>
      <c r="I23" s="35" t="s">
        <v>161</v>
      </c>
      <c r="J23" s="44">
        <v>16</v>
      </c>
      <c r="K23" s="23" t="s">
        <v>70</v>
      </c>
      <c r="N23" s="451" t="s">
        <v>162</v>
      </c>
      <c r="O23" s="6"/>
      <c r="P23" s="36"/>
      <c r="Q23" s="36" t="b">
        <f>IF(G17=9,L11,IF(G17=10,L12,IF(G17=11,L13,IF(G17=12,L14,IF(G17=13,L15,IF(G17=14,L16,IF(G17=15,L17)))))))</f>
        <v>0</v>
      </c>
      <c r="R23" s="27"/>
      <c r="S23" s="36"/>
      <c r="T23" s="40"/>
    </row>
    <row r="24" spans="1:20" ht="21">
      <c r="A24" s="56" t="s">
        <v>42</v>
      </c>
      <c r="B24" s="25"/>
      <c r="C24" s="3"/>
      <c r="D24" s="3"/>
      <c r="E24" s="104">
        <f>E17</f>
        <v>2</v>
      </c>
      <c r="F24" s="105" t="s">
        <v>71</v>
      </c>
      <c r="G24" s="106">
        <f>MAX(Q17,Q18)</f>
        <v>140</v>
      </c>
      <c r="H24" s="16"/>
      <c r="I24" s="444"/>
      <c r="J24" s="444"/>
      <c r="M24" s="62"/>
      <c r="N24" s="63"/>
      <c r="O24" s="6"/>
      <c r="P24" s="36" t="s">
        <v>130</v>
      </c>
      <c r="Q24" s="36">
        <f>IF(G17=1,M3,IF(G17=2,M4,IF(G17=3,M5,IF(G17=4,M6,IF(G17=5,M7,IF(G17=6,M8,IF(G17=7,M9,IF(G17=8,M10))))))))</f>
        <v>44.9</v>
      </c>
      <c r="R24" s="27"/>
      <c r="S24" s="36"/>
      <c r="T24" s="40"/>
    </row>
    <row r="25" spans="1:20" ht="15.75">
      <c r="A25" s="56" t="s">
        <v>179</v>
      </c>
      <c r="B25" s="25"/>
      <c r="C25" s="25"/>
      <c r="D25" s="25"/>
      <c r="E25" s="23"/>
      <c r="F25" s="23"/>
      <c r="G25" s="23"/>
      <c r="H25" s="23"/>
      <c r="I25" s="23"/>
      <c r="J25" s="160"/>
      <c r="K25" s="160"/>
      <c r="L25" s="23"/>
      <c r="M25" s="23"/>
      <c r="N25" s="55"/>
      <c r="O25" s="6"/>
      <c r="P25" s="36"/>
      <c r="Q25" s="36" t="b">
        <f>IF(G17=9,M11,IF(G17=10,M12,IF(G17=11,M13,IF(G17=12,M14,IF(G17=13,M15,IF(G17=14,M16,IF(G17=15,M17)))))))</f>
        <v>0</v>
      </c>
      <c r="R25" s="27"/>
      <c r="S25" s="36"/>
      <c r="T25" s="40"/>
    </row>
    <row r="26" spans="1:20" ht="15.75">
      <c r="A26" s="171"/>
      <c r="B26" s="20"/>
      <c r="C26" s="20"/>
      <c r="D26" s="20"/>
      <c r="E26" s="20"/>
      <c r="F26" s="21" t="str">
        <f>F24</f>
        <v>IPE</v>
      </c>
      <c r="G26" s="22">
        <f>G24</f>
        <v>140</v>
      </c>
      <c r="H26" s="20"/>
      <c r="I26" s="20"/>
      <c r="J26" s="20"/>
      <c r="K26" s="20"/>
      <c r="L26" s="20"/>
      <c r="M26" s="20"/>
      <c r="N26" s="57"/>
      <c r="O26" s="6"/>
      <c r="P26" s="36" t="s">
        <v>133</v>
      </c>
      <c r="Q26" s="36">
        <f>IF(G17=1,N3,IF(G17=2,N4,IF(G17=3,N5,IF(G17=4,N6,IF(G17=5,N7,IF(G17=6,N8,IF(G17=7,N9,IF(G17=8,N10))))))))</f>
        <v>12.3</v>
      </c>
      <c r="R26" s="27"/>
      <c r="S26" s="27"/>
      <c r="T26" s="39"/>
    </row>
    <row r="27" spans="1:20" ht="15.75">
      <c r="A27" s="54" t="s">
        <v>124</v>
      </c>
      <c r="B27" s="18">
        <f>MAX(Q20,Q21)</f>
        <v>541</v>
      </c>
      <c r="C27" s="23" t="s">
        <v>128</v>
      </c>
      <c r="D27" s="20"/>
      <c r="E27" s="21" t="s">
        <v>131</v>
      </c>
      <c r="F27" s="18">
        <f>MAX(Q24,Q25)</f>
        <v>44.9</v>
      </c>
      <c r="G27" s="23" t="s">
        <v>128</v>
      </c>
      <c r="H27" s="20"/>
      <c r="I27" s="21" t="s">
        <v>134</v>
      </c>
      <c r="J27" s="18">
        <f>MAX(Q29,Q28)</f>
        <v>16.399999999999999</v>
      </c>
      <c r="K27" s="23" t="s">
        <v>122</v>
      </c>
      <c r="L27" s="21" t="s">
        <v>137</v>
      </c>
      <c r="M27" s="18">
        <f>J28/2</f>
        <v>3.65</v>
      </c>
      <c r="N27" s="58" t="s">
        <v>70</v>
      </c>
      <c r="O27" s="6"/>
      <c r="P27" s="62"/>
      <c r="Q27" s="36" t="b">
        <f>IF(G17=9,N11,IF(G17=10,N12,IF(G17=11,N13,IF(G17=12,N14,IF(G17=13,N15,IF(G17=14,N16,IF(G17=15,N17)))))))</f>
        <v>0</v>
      </c>
      <c r="R27" s="27"/>
      <c r="S27" s="27"/>
      <c r="T27" s="39"/>
    </row>
    <row r="28" spans="1:20" ht="15.75">
      <c r="A28" s="54" t="s">
        <v>125</v>
      </c>
      <c r="B28" s="18">
        <f>MAX(Q22,Q23)</f>
        <v>77.3</v>
      </c>
      <c r="C28" s="23" t="s">
        <v>129</v>
      </c>
      <c r="D28" s="20"/>
      <c r="E28" s="21" t="s">
        <v>132</v>
      </c>
      <c r="F28" s="18">
        <f>MAX(Q26,Q27)</f>
        <v>12.3</v>
      </c>
      <c r="G28" s="23" t="s">
        <v>129</v>
      </c>
      <c r="H28" s="20"/>
      <c r="I28" s="21" t="s">
        <v>135</v>
      </c>
      <c r="J28" s="18">
        <f>MAX(Q30,Q31)</f>
        <v>7.3</v>
      </c>
      <c r="K28" s="23" t="s">
        <v>70</v>
      </c>
      <c r="L28" s="21" t="s">
        <v>169</v>
      </c>
      <c r="M28" s="18">
        <f>MAX(S17,S18)</f>
        <v>14</v>
      </c>
      <c r="N28" s="58" t="s">
        <v>70</v>
      </c>
      <c r="O28" s="6"/>
      <c r="P28" s="62" t="s">
        <v>134</v>
      </c>
      <c r="Q28" s="36">
        <f>IF(G17=1,I3,IF(G17=2,I4,IF(G17=3,I5,IF(G17=4,I6,IF(G17=5,I7,IF(G17=6,I8,IF(G17=7,I9,IF(G17=8,I10))))))))</f>
        <v>16.399999999999999</v>
      </c>
      <c r="R28" s="27"/>
      <c r="S28" s="27"/>
      <c r="T28" s="39"/>
    </row>
    <row r="29" spans="1:20" ht="15.75">
      <c r="A29" s="171"/>
      <c r="B29" s="20"/>
      <c r="C29" s="20"/>
      <c r="D29" s="20"/>
      <c r="E29" s="23"/>
      <c r="F29" s="21"/>
      <c r="G29" s="23"/>
      <c r="H29" s="20"/>
      <c r="I29" s="21"/>
      <c r="J29" s="20"/>
      <c r="K29" s="20"/>
      <c r="L29" s="20"/>
      <c r="M29" s="20"/>
      <c r="N29" s="57"/>
      <c r="O29" s="16"/>
      <c r="P29" s="36"/>
      <c r="Q29" s="36" t="b">
        <f>IF(G17=9,I11,IF(G17=10,I12,IF(G17=11,I13,IF(G17=12,I14,IF(G17=13,I15,IF(G17=14,I16,IF(G17=15,H17)))))))</f>
        <v>0</v>
      </c>
      <c r="R29" s="27"/>
      <c r="S29" s="27"/>
      <c r="T29" s="39"/>
    </row>
    <row r="30" spans="1:20" ht="15.75">
      <c r="A30" s="56" t="s">
        <v>164</v>
      </c>
      <c r="B30" s="23"/>
      <c r="C30" s="21" t="s">
        <v>135</v>
      </c>
      <c r="D30" s="44">
        <v>30</v>
      </c>
      <c r="E30" s="23" t="s">
        <v>24</v>
      </c>
      <c r="F30" s="21" t="s">
        <v>167</v>
      </c>
      <c r="G30" s="44">
        <v>1.2</v>
      </c>
      <c r="H30" s="23" t="s">
        <v>24</v>
      </c>
      <c r="I30" s="21" t="s">
        <v>134</v>
      </c>
      <c r="J30" s="44">
        <f>D30*G30</f>
        <v>36</v>
      </c>
      <c r="K30" s="23" t="s">
        <v>24</v>
      </c>
      <c r="L30" s="23" t="s">
        <v>168</v>
      </c>
      <c r="M30" s="44" t="str">
        <f>IF(OR(D30=0,G30=0)," 0",CONCATENATE(M28/2+G30/2))</f>
        <v>7.6</v>
      </c>
      <c r="N30" s="55" t="s">
        <v>24</v>
      </c>
      <c r="O30" s="16"/>
      <c r="P30" s="36" t="s">
        <v>135</v>
      </c>
      <c r="Q30" s="36">
        <f>IF(G17=1,D3,IF(G17=2,D4,IF(G17=3,D5,IF(G17=4,D6,IF(G17=5,D7,IF(G17=6,D8,IF(G17=7,D9,IF(G17=8,D10))))))))</f>
        <v>7.3</v>
      </c>
      <c r="R30" s="27"/>
      <c r="S30" s="27"/>
      <c r="T30" s="39"/>
    </row>
    <row r="31" spans="1:20" ht="15.75">
      <c r="A31" s="56" t="s">
        <v>165</v>
      </c>
      <c r="B31" s="25"/>
      <c r="C31" s="21" t="s">
        <v>135</v>
      </c>
      <c r="D31" s="44">
        <v>20</v>
      </c>
      <c r="E31" s="23" t="s">
        <v>24</v>
      </c>
      <c r="F31" s="21" t="s">
        <v>167</v>
      </c>
      <c r="G31" s="44">
        <v>0.8</v>
      </c>
      <c r="H31" s="23" t="s">
        <v>24</v>
      </c>
      <c r="I31" s="21" t="s">
        <v>134</v>
      </c>
      <c r="J31" s="44">
        <f>G31*D31</f>
        <v>16</v>
      </c>
      <c r="K31" s="23" t="s">
        <v>24</v>
      </c>
      <c r="L31" s="23" t="s">
        <v>168</v>
      </c>
      <c r="M31" s="44" t="str">
        <f>IF(OR(D31=0,G31=0)," 0",CONCATENATE(M28/2+G30+G31/2))</f>
        <v>8.6</v>
      </c>
      <c r="N31" s="55" t="s">
        <v>24</v>
      </c>
      <c r="O31" s="16"/>
      <c r="P31" s="36"/>
      <c r="Q31" s="36" t="b">
        <f>IF(G17=9,D11,IF(G17=10,D12,IF(G17=11,D13,IF(G17=12,D14,IF(G17=13,D15,IF(G17=14,D16,IF(G17=15,#REF!)))))))</f>
        <v>0</v>
      </c>
      <c r="R31" s="27"/>
      <c r="S31" s="27"/>
      <c r="T31" s="39"/>
    </row>
    <row r="32" spans="1:20" ht="19.5">
      <c r="A32" s="56" t="s">
        <v>166</v>
      </c>
      <c r="B32" s="23"/>
      <c r="C32" s="21" t="s">
        <v>135</v>
      </c>
      <c r="D32" s="44">
        <v>0</v>
      </c>
      <c r="E32" s="23" t="s">
        <v>24</v>
      </c>
      <c r="F32" s="21" t="s">
        <v>167</v>
      </c>
      <c r="G32" s="44">
        <v>1.2</v>
      </c>
      <c r="H32" s="23" t="s">
        <v>24</v>
      </c>
      <c r="I32" s="21" t="s">
        <v>134</v>
      </c>
      <c r="J32" s="44">
        <f>G32*D32</f>
        <v>0</v>
      </c>
      <c r="K32" s="23" t="s">
        <v>24</v>
      </c>
      <c r="L32" s="23" t="s">
        <v>137</v>
      </c>
      <c r="M32" s="44" t="str">
        <f>IF(OR(D32=0,G32=0)," 0",CONCATENATE(Q33+J28/2+G32/2))</f>
        <v xml:space="preserve"> 0</v>
      </c>
      <c r="N32" s="55" t="s">
        <v>24</v>
      </c>
      <c r="O32" s="16"/>
      <c r="P32" s="36"/>
      <c r="Q32" s="197"/>
      <c r="R32" s="41"/>
      <c r="S32" s="27"/>
      <c r="T32" s="39"/>
    </row>
    <row r="33" spans="1:20" ht="15.75">
      <c r="A33" s="17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55"/>
      <c r="O33" s="16"/>
      <c r="P33" s="36" t="s">
        <v>161</v>
      </c>
      <c r="Q33" s="36">
        <f>J23</f>
        <v>16</v>
      </c>
      <c r="R33" s="27"/>
      <c r="S33" s="27"/>
      <c r="T33" s="39"/>
    </row>
    <row r="34" spans="1:20" ht="15.75">
      <c r="A34" s="54">
        <f>E24</f>
        <v>2</v>
      </c>
      <c r="B34" s="20" t="str">
        <f>F26</f>
        <v>IPE</v>
      </c>
      <c r="C34" s="22">
        <f>G26</f>
        <v>140</v>
      </c>
      <c r="D34" s="23"/>
      <c r="E34" s="23"/>
      <c r="F34" s="170" t="s">
        <v>158</v>
      </c>
      <c r="G34" s="23"/>
      <c r="H34" s="23"/>
      <c r="I34" s="18" t="s">
        <v>159</v>
      </c>
      <c r="J34" s="23"/>
      <c r="K34" s="23"/>
      <c r="L34" s="170" t="s">
        <v>160</v>
      </c>
      <c r="M34" s="23"/>
      <c r="N34" s="55"/>
      <c r="O34" s="16"/>
      <c r="P34" s="36"/>
      <c r="Q34" s="36"/>
      <c r="R34" s="27"/>
      <c r="S34" s="27"/>
      <c r="T34" s="39"/>
    </row>
    <row r="35" spans="1:20" ht="15.75">
      <c r="A35" s="54" t="s">
        <v>134</v>
      </c>
      <c r="B35" s="20">
        <f>E24*J27</f>
        <v>32.799999999999997</v>
      </c>
      <c r="C35" s="22" t="s">
        <v>122</v>
      </c>
      <c r="D35" s="23"/>
      <c r="E35" s="21" t="s">
        <v>134</v>
      </c>
      <c r="F35" s="20">
        <f>2*J30</f>
        <v>72</v>
      </c>
      <c r="G35" s="23" t="s">
        <v>122</v>
      </c>
      <c r="H35" s="21" t="s">
        <v>134</v>
      </c>
      <c r="I35" s="20">
        <f>2*J31</f>
        <v>32</v>
      </c>
      <c r="J35" s="23" t="s">
        <v>122</v>
      </c>
      <c r="K35" s="21" t="s">
        <v>134</v>
      </c>
      <c r="L35" s="20">
        <f>2*J32</f>
        <v>0</v>
      </c>
      <c r="M35" s="23" t="s">
        <v>122</v>
      </c>
      <c r="N35" s="55"/>
      <c r="O35" s="16"/>
      <c r="P35" s="36"/>
      <c r="Q35" s="36"/>
      <c r="R35" s="27"/>
      <c r="S35" s="27"/>
      <c r="T35" s="39"/>
    </row>
    <row r="36" spans="1:20" ht="15.75">
      <c r="A36" s="54" t="s">
        <v>137</v>
      </c>
      <c r="B36" s="20">
        <f>Q33/2</f>
        <v>8</v>
      </c>
      <c r="C36" s="22" t="s">
        <v>70</v>
      </c>
      <c r="D36" s="23"/>
      <c r="E36" s="21" t="s">
        <v>168</v>
      </c>
      <c r="F36" s="20" t="str">
        <f>M30</f>
        <v>7.6</v>
      </c>
      <c r="G36" s="23" t="s">
        <v>70</v>
      </c>
      <c r="H36" s="21" t="s">
        <v>168</v>
      </c>
      <c r="I36" s="20" t="str">
        <f>M31</f>
        <v>8.6</v>
      </c>
      <c r="J36" s="23" t="s">
        <v>70</v>
      </c>
      <c r="K36" s="21" t="s">
        <v>137</v>
      </c>
      <c r="L36" s="20" t="str">
        <f>M32</f>
        <v xml:space="preserve"> 0</v>
      </c>
      <c r="M36" s="23" t="s">
        <v>70</v>
      </c>
      <c r="N36" s="55"/>
      <c r="O36" s="16"/>
      <c r="P36" s="36">
        <f>C42/(C40/9.75)</f>
        <v>0.17532836276066588</v>
      </c>
      <c r="Q36" s="36">
        <f>(C40/9.75)</f>
        <v>780.2502564102565</v>
      </c>
      <c r="R36" s="27"/>
      <c r="S36" s="27"/>
      <c r="T36" s="39"/>
    </row>
    <row r="37" spans="1:20" ht="15.75">
      <c r="A37" s="54" t="s">
        <v>139</v>
      </c>
      <c r="B37" s="20">
        <f>E24*B27</f>
        <v>1082</v>
      </c>
      <c r="C37" s="22" t="s">
        <v>128</v>
      </c>
      <c r="D37" s="23"/>
      <c r="E37" s="21" t="s">
        <v>139</v>
      </c>
      <c r="F37" s="20">
        <f>2*J30*F36^2</f>
        <v>4158.72</v>
      </c>
      <c r="G37" s="23" t="s">
        <v>128</v>
      </c>
      <c r="H37" s="21" t="s">
        <v>139</v>
      </c>
      <c r="I37" s="20">
        <f>2*J31*I36^2</f>
        <v>2366.7199999999998</v>
      </c>
      <c r="J37" s="23" t="s">
        <v>128</v>
      </c>
      <c r="K37" s="21" t="s">
        <v>139</v>
      </c>
      <c r="L37" s="20">
        <f>(G32*D32^3)/6</f>
        <v>0</v>
      </c>
      <c r="M37" s="23" t="s">
        <v>128</v>
      </c>
      <c r="N37" s="55"/>
      <c r="O37" s="15"/>
      <c r="P37" s="36">
        <f>C42/(C41/9)</f>
        <v>0.14224207648168832</v>
      </c>
      <c r="Q37" s="36">
        <f>C41/9</f>
        <v>961.74074074074065</v>
      </c>
      <c r="R37" s="27"/>
      <c r="S37" s="27"/>
      <c r="T37" s="39"/>
    </row>
    <row r="38" spans="1:20" ht="15.75">
      <c r="A38" s="54" t="s">
        <v>141</v>
      </c>
      <c r="B38" s="20">
        <f>E24*F27+(E24)*J27*(B36^2)</f>
        <v>2189</v>
      </c>
      <c r="C38" s="22" t="s">
        <v>128</v>
      </c>
      <c r="D38" s="23"/>
      <c r="E38" s="21" t="s">
        <v>141</v>
      </c>
      <c r="F38" s="20">
        <f>(G30*D30^3)/6</f>
        <v>5400</v>
      </c>
      <c r="G38" s="23" t="s">
        <v>128</v>
      </c>
      <c r="H38" s="21" t="s">
        <v>141</v>
      </c>
      <c r="I38" s="20">
        <f>(G31*D31^3)/6</f>
        <v>1066.6666666666667</v>
      </c>
      <c r="J38" s="23" t="s">
        <v>128</v>
      </c>
      <c r="K38" s="21" t="s">
        <v>141</v>
      </c>
      <c r="L38" s="20">
        <f>2*J32*L36^2</f>
        <v>0</v>
      </c>
      <c r="M38" s="23" t="s">
        <v>128</v>
      </c>
      <c r="N38" s="55"/>
      <c r="O38" s="15"/>
      <c r="P38" s="36"/>
      <c r="Q38" s="36"/>
      <c r="R38" s="27"/>
      <c r="S38" s="27"/>
      <c r="T38" s="39"/>
    </row>
    <row r="39" spans="1:20" ht="15.75">
      <c r="A39" s="165"/>
      <c r="B39" s="6"/>
      <c r="C39" s="6"/>
      <c r="D39" s="6"/>
      <c r="E39" s="6"/>
      <c r="F39" s="6"/>
      <c r="G39" s="533"/>
      <c r="H39" s="6"/>
      <c r="I39" s="6"/>
      <c r="J39" s="6"/>
      <c r="K39" s="6"/>
      <c r="L39" s="6"/>
      <c r="M39" s="6"/>
      <c r="N39" s="167"/>
      <c r="O39" s="15"/>
      <c r="P39" s="20"/>
      <c r="Q39" s="23"/>
    </row>
    <row r="40" spans="1:20" ht="21">
      <c r="A40" s="198" t="s">
        <v>171</v>
      </c>
      <c r="B40" s="21" t="s">
        <v>43</v>
      </c>
      <c r="C40" s="18">
        <f>B37+F37+I37+L37</f>
        <v>7607.4400000000005</v>
      </c>
      <c r="D40" s="22" t="s">
        <v>128</v>
      </c>
      <c r="E40" s="6"/>
      <c r="F40" s="6"/>
      <c r="G40" s="534"/>
      <c r="H40" s="6"/>
      <c r="I40" s="6"/>
      <c r="J40" s="6"/>
      <c r="K40" s="6"/>
      <c r="L40" s="6"/>
      <c r="M40" s="6"/>
      <c r="N40" s="167"/>
      <c r="O40" s="15"/>
      <c r="P40" s="193"/>
      <c r="Q40" s="3"/>
    </row>
    <row r="41" spans="1:20" ht="21">
      <c r="A41" s="198" t="s">
        <v>171</v>
      </c>
      <c r="B41" s="21" t="s">
        <v>172</v>
      </c>
      <c r="C41" s="18">
        <f>B38+F38+I38+L38</f>
        <v>8655.6666666666661</v>
      </c>
      <c r="D41" s="22" t="s">
        <v>128</v>
      </c>
      <c r="E41" s="6"/>
      <c r="F41" s="6"/>
      <c r="G41" s="6"/>
      <c r="H41" s="6"/>
      <c r="I41" s="6"/>
      <c r="J41" s="6"/>
      <c r="K41" s="6"/>
      <c r="L41" s="6"/>
      <c r="M41" s="6"/>
      <c r="N41" s="167"/>
      <c r="O41" s="16"/>
      <c r="P41" s="193"/>
      <c r="Q41" s="3"/>
    </row>
    <row r="42" spans="1:20" ht="21">
      <c r="A42" s="199" t="s">
        <v>171</v>
      </c>
      <c r="B42" s="21" t="s">
        <v>173</v>
      </c>
      <c r="C42" s="18">
        <f>B35+F35+I35+L35</f>
        <v>136.80000000000001</v>
      </c>
      <c r="D42" s="22" t="s">
        <v>122</v>
      </c>
      <c r="E42" s="23"/>
      <c r="F42" s="25"/>
      <c r="G42" s="23"/>
      <c r="H42" s="23"/>
      <c r="I42" s="23"/>
      <c r="J42" s="23"/>
      <c r="K42" s="23"/>
      <c r="L42" s="23"/>
      <c r="M42" s="23"/>
      <c r="N42" s="55"/>
      <c r="O42" s="16"/>
      <c r="P42" s="193"/>
      <c r="Q42" s="193"/>
      <c r="R42" s="13"/>
      <c r="S42" s="13"/>
      <c r="T42" s="13"/>
    </row>
    <row r="43" spans="1:20" ht="15.75">
      <c r="A43" s="165"/>
      <c r="B43" s="6"/>
      <c r="C43" s="6"/>
      <c r="D43" s="6"/>
      <c r="E43" s="23"/>
      <c r="F43" s="23"/>
      <c r="G43" s="23"/>
      <c r="H43" s="23"/>
      <c r="I43" s="23"/>
      <c r="J43" s="23"/>
      <c r="K43" s="23"/>
      <c r="L43" s="23"/>
      <c r="M43" s="23"/>
      <c r="N43" s="55"/>
      <c r="O43" s="15"/>
      <c r="P43" s="193"/>
      <c r="Q43" s="193"/>
      <c r="R43" s="13"/>
      <c r="S43" s="13"/>
      <c r="T43" s="13"/>
    </row>
    <row r="44" spans="1:20" ht="15.75">
      <c r="A44" s="54" t="s">
        <v>140</v>
      </c>
      <c r="B44" s="24">
        <f>(C40/C42)^0.5</f>
        <v>7.4572073539943782</v>
      </c>
      <c r="C44" s="22" t="s">
        <v>70</v>
      </c>
      <c r="D44" s="6"/>
      <c r="E44" s="23"/>
      <c r="F44" s="23"/>
      <c r="G44" s="23"/>
      <c r="H44" s="23"/>
      <c r="I44" s="23"/>
      <c r="J44" s="23"/>
      <c r="K44" s="23"/>
      <c r="L44" s="23"/>
      <c r="M44" s="23"/>
      <c r="N44" s="55"/>
      <c r="O44" s="16"/>
      <c r="P44" s="193"/>
      <c r="Q44" s="193"/>
      <c r="R44" s="13"/>
      <c r="S44" s="13"/>
      <c r="T44" s="13"/>
    </row>
    <row r="45" spans="1:20" ht="15.75">
      <c r="A45" s="54" t="s">
        <v>142</v>
      </c>
      <c r="B45" s="24">
        <f>(C41/C42)^0.5</f>
        <v>7.954396089835865</v>
      </c>
      <c r="C45" s="22" t="s">
        <v>70</v>
      </c>
      <c r="D45" s="6"/>
      <c r="E45" s="23"/>
      <c r="F45" s="23"/>
      <c r="G45" s="23"/>
      <c r="H45" s="23"/>
      <c r="I45" s="23"/>
      <c r="J45" s="23"/>
      <c r="K45" s="23"/>
      <c r="L45" s="23"/>
      <c r="M45" s="23"/>
      <c r="N45" s="55"/>
      <c r="O45" s="16"/>
      <c r="P45" s="193"/>
      <c r="Q45" s="193"/>
      <c r="R45" s="13"/>
      <c r="S45" s="13"/>
      <c r="T45" s="13"/>
    </row>
    <row r="46" spans="1:20" ht="15.75">
      <c r="A46" s="171"/>
      <c r="B46" s="23"/>
      <c r="C46" s="23"/>
      <c r="D46" s="23"/>
      <c r="E46" s="23"/>
      <c r="F46" s="23"/>
      <c r="G46" s="23"/>
      <c r="H46" s="45"/>
      <c r="I46" s="23"/>
      <c r="J46" s="23"/>
      <c r="K46" s="23"/>
      <c r="L46" s="23"/>
      <c r="M46" s="23"/>
      <c r="N46" s="55"/>
      <c r="O46" s="16"/>
      <c r="P46" s="193"/>
      <c r="Q46" s="193"/>
      <c r="R46" s="13"/>
      <c r="S46" s="13"/>
      <c r="T46" s="13"/>
    </row>
    <row r="47" spans="1:20" ht="15.75">
      <c r="A47" s="54" t="s">
        <v>143</v>
      </c>
      <c r="B47" s="20">
        <f>(F20*B20)/B44</f>
        <v>41.570521682483673</v>
      </c>
      <c r="C47" s="6"/>
      <c r="D47" s="23" t="s">
        <v>182</v>
      </c>
      <c r="E47" s="6"/>
      <c r="F47" s="24">
        <f>MAX(B47,B48)</f>
        <v>41.570521682483673</v>
      </c>
      <c r="G47" s="23"/>
      <c r="H47" s="23"/>
      <c r="I47" s="23"/>
      <c r="J47" s="23"/>
      <c r="K47" s="23"/>
      <c r="L47" s="23"/>
      <c r="M47" s="23"/>
      <c r="N47" s="55"/>
      <c r="O47" s="16"/>
      <c r="P47" s="193"/>
      <c r="Q47" s="193"/>
      <c r="R47" s="13"/>
      <c r="S47" s="13"/>
      <c r="T47" s="13"/>
    </row>
    <row r="48" spans="1:20" ht="15.75">
      <c r="A48" s="54" t="s">
        <v>144</v>
      </c>
      <c r="B48" s="20">
        <f>(F21*B20)/B45</f>
        <v>38.972160362509264</v>
      </c>
      <c r="C48" s="6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55"/>
      <c r="O48" s="16"/>
      <c r="P48" s="193"/>
      <c r="Q48" s="193"/>
      <c r="R48" s="13"/>
      <c r="S48" s="13"/>
      <c r="T48" s="13"/>
    </row>
    <row r="49" spans="1:20" ht="15.75">
      <c r="A49" s="54" t="s">
        <v>145</v>
      </c>
      <c r="B49" s="22" t="s">
        <v>146</v>
      </c>
      <c r="C49" s="20"/>
      <c r="D49" s="22">
        <f>6440/(B21)^0.5</f>
        <v>131.45594952936389</v>
      </c>
      <c r="E49" s="20"/>
      <c r="F49" s="175" t="str">
        <f>IF(D49&gt;F47," λmax &lt;Cc          → ","λmax &gt;Cc              →")</f>
        <v xml:space="preserve"> λmax &lt;Cc          → </v>
      </c>
      <c r="G49" s="23"/>
      <c r="H49" s="23"/>
      <c r="I49" s="177"/>
      <c r="J49" s="23"/>
      <c r="K49" s="23"/>
      <c r="L49" s="23" t="s">
        <v>336</v>
      </c>
      <c r="M49" s="23"/>
      <c r="N49" s="55"/>
      <c r="O49" s="16"/>
      <c r="P49" s="193"/>
      <c r="Q49" s="193"/>
      <c r="R49" s="13"/>
      <c r="S49" s="13"/>
      <c r="T49" s="13"/>
    </row>
    <row r="50" spans="1:20" ht="15.75">
      <c r="A50" s="54" t="s">
        <v>174</v>
      </c>
      <c r="B50" s="20" t="s">
        <v>149</v>
      </c>
      <c r="C50" s="20">
        <f>F47/D49</f>
        <v>0.31623157286766912</v>
      </c>
      <c r="D50" s="23"/>
      <c r="E50" s="23"/>
      <c r="G50" s="23"/>
      <c r="H50" s="23"/>
      <c r="I50" s="23"/>
      <c r="J50" s="23"/>
      <c r="K50" s="23"/>
      <c r="L50" s="23"/>
      <c r="M50" s="23"/>
      <c r="N50" s="55"/>
      <c r="O50" s="16"/>
      <c r="P50" s="193"/>
      <c r="Q50" s="193"/>
      <c r="R50" s="13"/>
      <c r="S50" s="13"/>
      <c r="T50" s="13"/>
    </row>
    <row r="51" spans="1:20" ht="15.75">
      <c r="A51" s="54"/>
      <c r="B51" s="23" t="s">
        <v>180</v>
      </c>
      <c r="C51" s="20"/>
      <c r="D51" s="20"/>
      <c r="E51" s="22">
        <f>1.67+0.375*C50-0.125*C50^3</f>
        <v>1.7846338499915406</v>
      </c>
      <c r="F51" s="23"/>
      <c r="G51" s="23"/>
      <c r="H51" s="23"/>
      <c r="I51" s="23"/>
      <c r="J51" s="23"/>
      <c r="K51" s="23"/>
      <c r="L51" s="23"/>
      <c r="M51" s="23"/>
      <c r="N51" s="55"/>
      <c r="O51" s="16"/>
      <c r="P51" s="193"/>
      <c r="Q51" s="193"/>
      <c r="R51" s="13"/>
      <c r="S51" s="13"/>
      <c r="T51" s="13"/>
    </row>
    <row r="52" spans="1:20" ht="15.75">
      <c r="A52" s="54"/>
      <c r="B52" s="23" t="s">
        <v>181</v>
      </c>
      <c r="C52" s="20"/>
      <c r="D52" s="20"/>
      <c r="E52" s="24">
        <f>((1-0.5*C50^2)*B21)/E51</f>
        <v>1277.5713689375418</v>
      </c>
      <c r="F52" s="23" t="s">
        <v>150</v>
      </c>
      <c r="G52" s="23"/>
      <c r="H52" s="23"/>
      <c r="I52" s="23"/>
      <c r="J52" s="23"/>
      <c r="K52" s="23"/>
      <c r="L52" s="23"/>
      <c r="M52" s="23"/>
      <c r="N52" s="55"/>
      <c r="O52" s="16"/>
      <c r="P52" s="193"/>
      <c r="Q52" s="193"/>
      <c r="R52" s="13"/>
      <c r="S52" s="13"/>
      <c r="T52" s="13"/>
    </row>
    <row r="53" spans="1:20" ht="15.75">
      <c r="A53" s="165"/>
      <c r="B53" s="21" t="s">
        <v>153</v>
      </c>
      <c r="C53" s="22" t="s">
        <v>154</v>
      </c>
      <c r="D53" s="46">
        <f>I20*1000/C42</f>
        <v>1776.3157894736842</v>
      </c>
      <c r="E53" s="23" t="s">
        <v>121</v>
      </c>
      <c r="F53" s="23"/>
      <c r="G53" s="18" t="str">
        <f>IF(D53&lt;I53,"&lt;","&gt;")</f>
        <v>&gt;</v>
      </c>
      <c r="H53" s="20" t="s">
        <v>334</v>
      </c>
      <c r="I53" s="43">
        <f>E52</f>
        <v>1277.5713689375418</v>
      </c>
      <c r="J53" s="23" t="s">
        <v>150</v>
      </c>
      <c r="K53" s="43" t="str">
        <f>IF(G53="&lt;","O.K","N.G.")</f>
        <v>N.G.</v>
      </c>
      <c r="M53" s="23"/>
      <c r="N53" s="55"/>
      <c r="O53" s="16"/>
      <c r="P53" s="193"/>
      <c r="Q53" s="193"/>
      <c r="R53" s="13"/>
      <c r="S53" s="13"/>
      <c r="T53" s="13"/>
    </row>
    <row r="54" spans="1:20" ht="15.75">
      <c r="A54" s="171"/>
      <c r="C54" s="18" t="s">
        <v>313</v>
      </c>
      <c r="D54" s="18">
        <f>D53/I53</f>
        <v>1.3903847821440378</v>
      </c>
      <c r="E54" s="43" t="str">
        <f>IF(D54&lt;=1,"     &lt;1   O.K","N.G")</f>
        <v>N.G</v>
      </c>
      <c r="I54" s="23"/>
      <c r="J54" s="23"/>
      <c r="K54" s="23"/>
      <c r="L54" s="23"/>
      <c r="M54" s="23"/>
      <c r="N54" s="55"/>
      <c r="O54" s="16"/>
      <c r="P54" s="193"/>
      <c r="Q54" s="193"/>
      <c r="R54" s="13"/>
      <c r="S54" s="13"/>
      <c r="T54" s="13"/>
    </row>
    <row r="55" spans="1:20" ht="15.75">
      <c r="A55" s="171"/>
      <c r="I55" s="23"/>
      <c r="J55" s="23"/>
      <c r="K55" s="23"/>
      <c r="L55" s="23"/>
      <c r="M55" s="23"/>
      <c r="N55" s="55"/>
      <c r="O55" s="16"/>
      <c r="P55" s="193"/>
      <c r="Q55" s="193"/>
      <c r="R55" s="13"/>
      <c r="S55" s="13"/>
      <c r="T55" s="13"/>
    </row>
    <row r="56" spans="1:20" ht="15.75">
      <c r="A56" s="171"/>
      <c r="B56" s="20" t="s">
        <v>319</v>
      </c>
      <c r="C56" s="6"/>
      <c r="D56" s="46">
        <f>(C42*E52/1000)</f>
        <v>174.77176327065573</v>
      </c>
      <c r="E56" s="23" t="s">
        <v>115</v>
      </c>
      <c r="F56" s="23" t="s">
        <v>201</v>
      </c>
      <c r="G56" s="3"/>
      <c r="H56" s="43" t="str">
        <f>IF(D56&gt;=I20,"O.K","N.G")</f>
        <v>N.G</v>
      </c>
      <c r="I56" s="23"/>
      <c r="J56" s="23"/>
      <c r="K56" s="23"/>
      <c r="L56" s="15"/>
      <c r="M56" s="445"/>
      <c r="N56" s="446"/>
      <c r="O56" s="16"/>
      <c r="P56" s="193"/>
      <c r="Q56" s="193"/>
      <c r="R56" s="13"/>
      <c r="S56" s="13"/>
      <c r="T56" s="13"/>
    </row>
    <row r="57" spans="1:20" ht="15.75">
      <c r="A57" s="171"/>
      <c r="B57" s="21"/>
      <c r="C57" s="20"/>
      <c r="D57" s="23"/>
      <c r="E57" s="23"/>
      <c r="F57" s="23"/>
      <c r="G57" s="23"/>
      <c r="H57" s="23"/>
      <c r="I57" s="23"/>
      <c r="J57" s="23"/>
      <c r="K57" s="23"/>
      <c r="L57" s="16"/>
      <c r="M57" s="17"/>
      <c r="N57" s="446"/>
      <c r="O57" s="16"/>
      <c r="P57" s="193"/>
      <c r="Q57" s="193"/>
      <c r="R57" s="13"/>
      <c r="S57" s="13"/>
      <c r="T57" s="13"/>
    </row>
    <row r="58" spans="1:20" ht="15.75">
      <c r="A58" s="171"/>
      <c r="B58" s="23"/>
      <c r="C58" s="23"/>
      <c r="D58" s="23"/>
      <c r="E58" s="23"/>
      <c r="F58" s="43"/>
      <c r="G58" s="3"/>
      <c r="H58" s="23"/>
      <c r="I58" s="23"/>
      <c r="J58" s="3"/>
      <c r="K58" s="23"/>
      <c r="L58" s="16"/>
      <c r="M58" s="17"/>
      <c r="N58" s="446"/>
      <c r="O58" s="15"/>
      <c r="P58" s="193"/>
      <c r="Q58" s="193"/>
      <c r="R58" s="13"/>
      <c r="S58" s="13"/>
      <c r="T58" s="13"/>
    </row>
    <row r="59" spans="1:20" ht="15.75">
      <c r="A59" s="171"/>
      <c r="B59" s="285">
        <f>E17</f>
        <v>2</v>
      </c>
      <c r="C59" s="107" t="s">
        <v>71</v>
      </c>
      <c r="D59" s="108">
        <f>MAX(Q18,Q17)</f>
        <v>140</v>
      </c>
      <c r="E59" s="108" t="s">
        <v>163</v>
      </c>
      <c r="F59" s="108">
        <f>Q33*10</f>
        <v>160</v>
      </c>
      <c r="G59" s="107" t="str">
        <f>IF(OR(D30=0,G30=0)," ","  + 2PL ")</f>
        <v xml:space="preserve">  + 2PL </v>
      </c>
      <c r="H59" s="109" t="str">
        <f>IF(OR(D30=0,G30=0)," ",CONCATENATE(D30*10,"X",G30*10))</f>
        <v>300X12</v>
      </c>
      <c r="I59" s="107" t="str">
        <f>IF(OR(D31=0,G31=0)," ","  + 2PL ")</f>
        <v xml:space="preserve">  + 2PL </v>
      </c>
      <c r="J59" s="107" t="str">
        <f>IF(OR(D31=0,G31=0)," ",CONCATENATE(D31*10," X ",G31*10))</f>
        <v>200 X 8</v>
      </c>
      <c r="K59" s="107" t="str">
        <f>IF(OR(D32=0,G32=0)," ","+ 2PL")</f>
        <v xml:space="preserve"> </v>
      </c>
      <c r="L59" s="108" t="str">
        <f>IF(OR(D32=0,G32=0)," ",CONCATENATE(D32*10,"X",G32*10))</f>
        <v xml:space="preserve"> </v>
      </c>
      <c r="M59" s="270"/>
      <c r="N59" s="164"/>
      <c r="O59" s="3"/>
      <c r="P59" s="193"/>
      <c r="Q59" s="193"/>
      <c r="R59" s="13"/>
      <c r="S59" s="13"/>
      <c r="T59" s="13"/>
    </row>
    <row r="60" spans="1:20" ht="15.75">
      <c r="A60" s="171"/>
      <c r="B60" s="6"/>
      <c r="C60" s="6"/>
      <c r="D60" s="6"/>
      <c r="E60" s="23"/>
      <c r="F60" s="23"/>
      <c r="G60" s="23"/>
      <c r="H60" s="23"/>
      <c r="I60" s="23"/>
      <c r="J60" s="23"/>
      <c r="K60" s="23"/>
      <c r="L60" s="447"/>
      <c r="M60" s="206"/>
      <c r="N60" s="167"/>
      <c r="O60" s="16"/>
      <c r="P60" s="193"/>
      <c r="Q60" s="193"/>
      <c r="R60" s="13"/>
      <c r="S60" s="13"/>
      <c r="T60" s="13"/>
    </row>
    <row r="61" spans="1:20" ht="16.5" thickBot="1">
      <c r="A61" s="200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448"/>
      <c r="O61" s="16"/>
      <c r="P61" s="193"/>
      <c r="Q61" s="193"/>
      <c r="R61" s="13"/>
      <c r="S61" s="13"/>
      <c r="T61" s="13"/>
    </row>
    <row r="62" spans="1:20" ht="13.5" thickTop="1">
      <c r="O62" s="16"/>
      <c r="P62" s="193"/>
      <c r="Q62" s="193"/>
      <c r="R62" s="13"/>
      <c r="S62" s="13"/>
      <c r="T62" s="13"/>
    </row>
    <row r="63" spans="1:20">
      <c r="O63" s="16"/>
      <c r="P63" s="193"/>
      <c r="Q63" s="193"/>
      <c r="R63" s="13"/>
      <c r="S63" s="13"/>
      <c r="T63" s="13"/>
    </row>
    <row r="64" spans="1:20" ht="15.75">
      <c r="A64" s="23"/>
      <c r="B64" s="23"/>
      <c r="C64" s="17"/>
      <c r="D64" s="15"/>
      <c r="E64" s="16"/>
      <c r="F64" s="6"/>
      <c r="G64" s="6"/>
      <c r="H64" s="6"/>
      <c r="I64" s="17"/>
      <c r="J64" s="449"/>
      <c r="K64" s="15"/>
      <c r="L64" s="6"/>
      <c r="M64" s="6"/>
      <c r="N64" s="3"/>
      <c r="O64" s="3"/>
      <c r="P64" s="193"/>
      <c r="Q64" s="193"/>
      <c r="R64" s="13"/>
      <c r="S64" s="13"/>
      <c r="T64" s="13"/>
    </row>
  </sheetData>
  <phoneticPr fontId="83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AutoCAD.Drawing.16" shapeId="26625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134"/>
  <sheetViews>
    <sheetView topLeftCell="A10" workbookViewId="0">
      <selection activeCell="H51" sqref="H51"/>
    </sheetView>
  </sheetViews>
  <sheetFormatPr defaultRowHeight="12.75"/>
  <cols>
    <col min="1" max="2" width="6.7109375" customWidth="1"/>
    <col min="3" max="3" width="7.7109375" customWidth="1"/>
    <col min="4" max="5" width="6.7109375" customWidth="1"/>
    <col min="6" max="9" width="7.7109375" customWidth="1"/>
    <col min="10" max="11" width="6.7109375" customWidth="1"/>
    <col min="12" max="12" width="8.7109375" customWidth="1"/>
    <col min="13" max="13" width="6.7109375" customWidth="1"/>
    <col min="14" max="14" width="6.140625" customWidth="1"/>
    <col min="15" max="15" width="7.140625" customWidth="1"/>
    <col min="16" max="16" width="9" customWidth="1"/>
    <col min="18" max="18" width="8.42578125" customWidth="1"/>
    <col min="21" max="21" width="10.28515625" bestFit="1" customWidth="1"/>
  </cols>
  <sheetData>
    <row r="1" spans="1:29" ht="35.25">
      <c r="A1" s="192"/>
      <c r="B1" s="117"/>
      <c r="C1" s="118" t="s">
        <v>19</v>
      </c>
      <c r="D1" s="117"/>
      <c r="E1" s="117"/>
      <c r="F1" s="117"/>
      <c r="G1" s="118" t="s">
        <v>20</v>
      </c>
      <c r="H1" s="117"/>
      <c r="I1" s="117"/>
      <c r="J1" s="117"/>
      <c r="K1" s="118" t="s">
        <v>112</v>
      </c>
      <c r="L1" s="118"/>
      <c r="M1" s="28"/>
      <c r="N1" s="28"/>
      <c r="O1" s="119"/>
      <c r="P1" s="26"/>
      <c r="Q1" s="36"/>
      <c r="R1" s="36"/>
      <c r="S1" s="27"/>
      <c r="T1" s="27"/>
      <c r="U1" s="39"/>
      <c r="V1" s="39"/>
      <c r="W1" s="39"/>
      <c r="X1" s="39"/>
      <c r="Y1" s="39"/>
      <c r="Z1" s="39"/>
      <c r="AA1" s="39"/>
      <c r="AB1" s="39"/>
      <c r="AC1" s="39"/>
    </row>
    <row r="2" spans="1:29" ht="15.75">
      <c r="A2" s="48" t="s">
        <v>177</v>
      </c>
      <c r="B2" s="124" t="s">
        <v>22</v>
      </c>
      <c r="C2" s="124" t="s">
        <v>13</v>
      </c>
      <c r="D2" s="124" t="s">
        <v>14</v>
      </c>
      <c r="E2" s="124" t="s">
        <v>92</v>
      </c>
      <c r="F2" s="124" t="s">
        <v>109</v>
      </c>
      <c r="G2" s="124" t="s">
        <v>110</v>
      </c>
      <c r="H2" s="124" t="s">
        <v>17</v>
      </c>
      <c r="I2" s="124" t="s">
        <v>0</v>
      </c>
      <c r="J2" s="124" t="s">
        <v>18</v>
      </c>
      <c r="K2" s="124" t="s">
        <v>126</v>
      </c>
      <c r="L2" s="124" t="s">
        <v>127</v>
      </c>
      <c r="M2" s="124" t="s">
        <v>130</v>
      </c>
      <c r="N2" s="124" t="s">
        <v>133</v>
      </c>
      <c r="O2" s="124" t="s">
        <v>111</v>
      </c>
      <c r="P2" s="26"/>
      <c r="Q2" s="36"/>
      <c r="R2" s="36"/>
      <c r="S2" s="27"/>
      <c r="T2" s="27"/>
      <c r="U2" s="39"/>
      <c r="V2" s="39"/>
      <c r="W2" s="39"/>
      <c r="X2" s="39"/>
      <c r="Y2" s="39"/>
      <c r="Z2" s="39"/>
      <c r="AA2" s="39"/>
      <c r="AB2" s="39"/>
      <c r="AC2" s="39"/>
    </row>
    <row r="3" spans="1:29" ht="15">
      <c r="A3" s="30">
        <v>1</v>
      </c>
      <c r="B3" s="29" t="s">
        <v>94</v>
      </c>
      <c r="C3" s="29">
        <v>5</v>
      </c>
      <c r="D3" s="29">
        <v>3.8</v>
      </c>
      <c r="E3" s="29">
        <v>0.5</v>
      </c>
      <c r="F3" s="29">
        <v>0.7</v>
      </c>
      <c r="G3" s="29">
        <v>0.35</v>
      </c>
      <c r="H3" s="29">
        <v>2</v>
      </c>
      <c r="I3" s="29">
        <v>7.12</v>
      </c>
      <c r="J3" s="29">
        <v>5.59</v>
      </c>
      <c r="K3" s="29">
        <v>26.4</v>
      </c>
      <c r="L3" s="29">
        <v>10.6</v>
      </c>
      <c r="M3" s="29">
        <v>9.1199999999999992</v>
      </c>
      <c r="N3" s="29">
        <v>3.75</v>
      </c>
      <c r="O3" s="29">
        <v>1.37</v>
      </c>
      <c r="P3" s="26"/>
      <c r="Q3" s="136">
        <v>1</v>
      </c>
      <c r="R3" s="31">
        <v>50</v>
      </c>
      <c r="T3" s="27"/>
      <c r="U3" s="39"/>
      <c r="V3" s="39"/>
      <c r="W3" s="39"/>
      <c r="X3" s="39"/>
      <c r="Y3" s="39"/>
      <c r="Z3" s="39"/>
      <c r="AA3" s="39"/>
      <c r="AB3" s="39"/>
      <c r="AC3" s="39"/>
    </row>
    <row r="4" spans="1:29" ht="15">
      <c r="A4" s="30">
        <v>2</v>
      </c>
      <c r="B4" s="32" t="s">
        <v>95</v>
      </c>
      <c r="C4" s="32">
        <v>6</v>
      </c>
      <c r="D4" s="32">
        <v>3</v>
      </c>
      <c r="E4" s="32">
        <v>0.6</v>
      </c>
      <c r="F4" s="32">
        <v>0.6</v>
      </c>
      <c r="G4" s="32">
        <v>0.3</v>
      </c>
      <c r="H4" s="32">
        <v>3.5</v>
      </c>
      <c r="I4" s="32">
        <v>6.46</v>
      </c>
      <c r="J4" s="32">
        <v>5.07</v>
      </c>
      <c r="K4" s="32">
        <v>31.6</v>
      </c>
      <c r="L4" s="32">
        <v>10.5</v>
      </c>
      <c r="M4" s="32">
        <v>4.51</v>
      </c>
      <c r="N4" s="32">
        <v>2.16</v>
      </c>
      <c r="O4" s="32">
        <v>0.91</v>
      </c>
      <c r="P4" s="26"/>
      <c r="Q4" s="136">
        <v>2</v>
      </c>
      <c r="R4" s="31">
        <v>60</v>
      </c>
      <c r="T4" s="27"/>
      <c r="U4" s="39"/>
      <c r="V4" s="39"/>
      <c r="W4" s="39"/>
      <c r="X4" s="39"/>
      <c r="Y4" s="39"/>
      <c r="Z4" s="39"/>
      <c r="AA4" s="39"/>
      <c r="AB4" s="39"/>
      <c r="AC4" s="39"/>
    </row>
    <row r="5" spans="1:29" ht="15">
      <c r="A5" s="30">
        <v>3</v>
      </c>
      <c r="B5" s="29" t="s">
        <v>96</v>
      </c>
      <c r="C5" s="29">
        <v>6.5</v>
      </c>
      <c r="D5" s="29">
        <v>4.2</v>
      </c>
      <c r="E5" s="29">
        <v>0.55000000000000004</v>
      </c>
      <c r="F5" s="29">
        <v>0.75</v>
      </c>
      <c r="G5" s="29">
        <v>0.4</v>
      </c>
      <c r="H5" s="29">
        <v>3.3</v>
      </c>
      <c r="I5" s="29">
        <v>9.0299999999999994</v>
      </c>
      <c r="J5" s="29">
        <v>7.09</v>
      </c>
      <c r="K5" s="29">
        <v>57.5</v>
      </c>
      <c r="L5" s="29">
        <v>17.7</v>
      </c>
      <c r="M5" s="29">
        <v>14.1</v>
      </c>
      <c r="N5" s="29">
        <v>5.07</v>
      </c>
      <c r="O5" s="29">
        <v>1.42</v>
      </c>
      <c r="P5" s="26"/>
      <c r="Q5" s="136">
        <v>3</v>
      </c>
      <c r="R5" s="31">
        <v>65</v>
      </c>
      <c r="T5" s="27"/>
      <c r="U5" s="39"/>
      <c r="V5" s="39"/>
      <c r="W5" s="39"/>
      <c r="X5" s="39"/>
      <c r="Y5" s="39"/>
      <c r="Z5" s="39"/>
      <c r="AA5" s="39"/>
      <c r="AB5" s="39"/>
      <c r="AC5" s="39"/>
    </row>
    <row r="6" spans="1:29" ht="15">
      <c r="A6" s="30">
        <v>4</v>
      </c>
      <c r="B6" s="32" t="s">
        <v>97</v>
      </c>
      <c r="C6" s="32">
        <v>8</v>
      </c>
      <c r="D6" s="32">
        <v>4.5</v>
      </c>
      <c r="E6" s="32">
        <v>0.6</v>
      </c>
      <c r="F6" s="32">
        <v>0.8</v>
      </c>
      <c r="G6" s="32">
        <v>0.4</v>
      </c>
      <c r="H6" s="32">
        <v>4.7</v>
      </c>
      <c r="I6" s="32">
        <v>11</v>
      </c>
      <c r="J6" s="32">
        <v>8.64</v>
      </c>
      <c r="K6" s="32">
        <v>106</v>
      </c>
      <c r="L6" s="32">
        <v>26.5</v>
      </c>
      <c r="M6" s="32">
        <v>19.399999999999999</v>
      </c>
      <c r="N6" s="32">
        <v>6.36</v>
      </c>
      <c r="O6" s="32">
        <v>1.45</v>
      </c>
      <c r="P6" s="26"/>
      <c r="Q6" s="136">
        <v>4</v>
      </c>
      <c r="R6" s="31">
        <v>80</v>
      </c>
      <c r="T6" s="27"/>
      <c r="U6" s="39"/>
      <c r="V6" s="39"/>
      <c r="W6" s="39"/>
      <c r="X6" s="39"/>
      <c r="Y6" s="39"/>
      <c r="Z6" s="39"/>
      <c r="AA6" s="39"/>
      <c r="AB6" s="39"/>
      <c r="AC6" s="39"/>
    </row>
    <row r="7" spans="1:29" ht="15">
      <c r="A7" s="30">
        <v>5</v>
      </c>
      <c r="B7" s="29" t="s">
        <v>98</v>
      </c>
      <c r="C7" s="29">
        <v>10</v>
      </c>
      <c r="D7" s="29">
        <v>5</v>
      </c>
      <c r="E7" s="29">
        <v>0.6</v>
      </c>
      <c r="F7" s="29">
        <v>0.85</v>
      </c>
      <c r="G7" s="29">
        <v>0.45</v>
      </c>
      <c r="H7" s="29">
        <v>6.4</v>
      </c>
      <c r="I7" s="29">
        <v>13.5</v>
      </c>
      <c r="J7" s="29">
        <v>10.6</v>
      </c>
      <c r="K7" s="29">
        <v>206</v>
      </c>
      <c r="L7" s="29">
        <v>41.2</v>
      </c>
      <c r="M7" s="29">
        <v>29.3</v>
      </c>
      <c r="N7" s="29">
        <v>8.49</v>
      </c>
      <c r="O7" s="29">
        <v>1.55</v>
      </c>
      <c r="P7" s="26"/>
      <c r="Q7" s="136">
        <v>5</v>
      </c>
      <c r="R7" s="31">
        <v>100</v>
      </c>
      <c r="T7" s="27"/>
      <c r="U7" s="39"/>
      <c r="V7" s="39"/>
      <c r="W7" s="39"/>
      <c r="X7" s="39"/>
      <c r="Y7" s="39"/>
      <c r="Z7" s="39"/>
      <c r="AA7" s="39"/>
      <c r="AB7" s="39"/>
      <c r="AC7" s="39"/>
    </row>
    <row r="8" spans="1:29" ht="15">
      <c r="A8" s="30">
        <v>6</v>
      </c>
      <c r="B8" s="32" t="s">
        <v>99</v>
      </c>
      <c r="C8" s="32">
        <v>12</v>
      </c>
      <c r="D8" s="32">
        <v>5.5</v>
      </c>
      <c r="E8" s="32">
        <v>0.7</v>
      </c>
      <c r="F8" s="32">
        <v>0.9</v>
      </c>
      <c r="G8" s="32">
        <v>0.45</v>
      </c>
      <c r="H8" s="32">
        <v>8.1999999999999993</v>
      </c>
      <c r="I8" s="32">
        <v>17</v>
      </c>
      <c r="J8" s="32">
        <v>13.4</v>
      </c>
      <c r="K8" s="32">
        <v>364</v>
      </c>
      <c r="L8" s="32">
        <v>60.7</v>
      </c>
      <c r="M8" s="32">
        <v>43.2</v>
      </c>
      <c r="N8" s="32">
        <v>11.1</v>
      </c>
      <c r="O8" s="32">
        <v>1.6</v>
      </c>
      <c r="P8" s="26"/>
      <c r="Q8" s="136">
        <v>6</v>
      </c>
      <c r="R8" s="31">
        <v>120</v>
      </c>
      <c r="T8" s="27"/>
      <c r="U8" s="39"/>
      <c r="V8" s="39"/>
      <c r="W8" s="39"/>
      <c r="X8" s="39"/>
      <c r="Y8" s="39"/>
      <c r="Z8" s="39"/>
      <c r="AA8" s="39"/>
      <c r="AB8" s="39"/>
      <c r="AC8" s="39"/>
    </row>
    <row r="9" spans="1:29" ht="15">
      <c r="A9" s="30">
        <v>7</v>
      </c>
      <c r="B9" s="29" t="s">
        <v>100</v>
      </c>
      <c r="C9" s="29">
        <v>14</v>
      </c>
      <c r="D9" s="29">
        <v>6</v>
      </c>
      <c r="E9" s="29">
        <v>0.7</v>
      </c>
      <c r="F9" s="29">
        <v>1</v>
      </c>
      <c r="G9" s="29">
        <v>0.5</v>
      </c>
      <c r="H9" s="29">
        <v>9.6999999999999993</v>
      </c>
      <c r="I9" s="29">
        <v>20.399999999999999</v>
      </c>
      <c r="J9" s="29">
        <v>16</v>
      </c>
      <c r="K9" s="29">
        <v>605</v>
      </c>
      <c r="L9" s="29">
        <v>86.4</v>
      </c>
      <c r="M9" s="29">
        <v>62.7</v>
      </c>
      <c r="N9" s="29">
        <v>14.8</v>
      </c>
      <c r="O9" s="29">
        <v>1.75</v>
      </c>
      <c r="P9" s="26"/>
      <c r="Q9" s="136">
        <v>7</v>
      </c>
      <c r="R9" s="31">
        <v>140</v>
      </c>
      <c r="T9" s="27"/>
      <c r="U9" s="39"/>
      <c r="V9" s="39"/>
      <c r="W9" s="39"/>
      <c r="X9" s="39"/>
      <c r="Y9" s="39"/>
      <c r="Z9" s="39"/>
      <c r="AA9" s="39"/>
      <c r="AB9" s="39"/>
      <c r="AC9" s="39"/>
    </row>
    <row r="10" spans="1:29" ht="15">
      <c r="A10" s="30">
        <v>8</v>
      </c>
      <c r="B10" s="32" t="s">
        <v>101</v>
      </c>
      <c r="C10" s="32">
        <v>16</v>
      </c>
      <c r="D10" s="32">
        <v>6.5</v>
      </c>
      <c r="E10" s="32">
        <v>0.75</v>
      </c>
      <c r="F10" s="32">
        <v>1.05</v>
      </c>
      <c r="G10" s="32">
        <v>0.55000000000000004</v>
      </c>
      <c r="H10" s="32">
        <v>11.6</v>
      </c>
      <c r="I10" s="32">
        <v>24</v>
      </c>
      <c r="J10" s="32">
        <v>18.8</v>
      </c>
      <c r="K10" s="32">
        <v>925</v>
      </c>
      <c r="L10" s="32">
        <v>116</v>
      </c>
      <c r="M10" s="32">
        <v>85.3</v>
      </c>
      <c r="N10" s="32">
        <v>18.3</v>
      </c>
      <c r="O10" s="32">
        <v>1.84</v>
      </c>
      <c r="P10" s="26"/>
      <c r="Q10" s="136">
        <v>8</v>
      </c>
      <c r="R10" s="31">
        <v>160</v>
      </c>
      <c r="T10" s="27"/>
      <c r="U10" s="39"/>
      <c r="V10" s="39"/>
      <c r="W10" s="39"/>
      <c r="X10" s="39"/>
      <c r="Y10" s="39"/>
      <c r="Z10" s="39"/>
      <c r="AA10" s="39"/>
      <c r="AB10" s="39"/>
      <c r="AC10" s="39"/>
    </row>
    <row r="11" spans="1:29" ht="15">
      <c r="A11" s="30">
        <v>9</v>
      </c>
      <c r="B11" s="29" t="s">
        <v>102</v>
      </c>
      <c r="C11" s="29">
        <v>18</v>
      </c>
      <c r="D11" s="29">
        <v>7</v>
      </c>
      <c r="E11" s="29">
        <v>0.8</v>
      </c>
      <c r="F11" s="29">
        <v>1.1000000000000001</v>
      </c>
      <c r="G11" s="29">
        <v>0.55000000000000004</v>
      </c>
      <c r="H11" s="29">
        <v>13.3</v>
      </c>
      <c r="I11" s="29">
        <v>28</v>
      </c>
      <c r="J11" s="29">
        <v>22</v>
      </c>
      <c r="K11" s="29">
        <v>1350</v>
      </c>
      <c r="L11" s="29">
        <v>150</v>
      </c>
      <c r="M11" s="29">
        <v>114</v>
      </c>
      <c r="N11" s="29">
        <v>22.4</v>
      </c>
      <c r="O11" s="29">
        <v>1.92</v>
      </c>
      <c r="P11" s="26"/>
      <c r="Q11" s="136">
        <v>9</v>
      </c>
      <c r="R11" s="31">
        <v>180</v>
      </c>
      <c r="T11" s="27"/>
      <c r="U11" s="39"/>
      <c r="V11" s="39"/>
      <c r="W11" s="39"/>
      <c r="X11" s="39"/>
      <c r="Y11" s="39"/>
      <c r="Z11" s="39"/>
      <c r="AA11" s="39"/>
      <c r="AB11" s="39"/>
      <c r="AC11" s="39"/>
    </row>
    <row r="12" spans="1:29" ht="15">
      <c r="A12" s="30">
        <v>10</v>
      </c>
      <c r="B12" s="32" t="s">
        <v>103</v>
      </c>
      <c r="C12" s="32">
        <v>20</v>
      </c>
      <c r="D12" s="32">
        <v>7.5</v>
      </c>
      <c r="E12" s="32">
        <v>0.85</v>
      </c>
      <c r="F12" s="32">
        <v>1.1499999999999999</v>
      </c>
      <c r="G12" s="32">
        <v>0.6</v>
      </c>
      <c r="H12" s="32">
        <v>15.1</v>
      </c>
      <c r="I12" s="32">
        <v>32.200000000000003</v>
      </c>
      <c r="J12" s="32">
        <v>25.3</v>
      </c>
      <c r="K12" s="32">
        <v>1910</v>
      </c>
      <c r="L12" s="32">
        <v>191</v>
      </c>
      <c r="M12" s="32">
        <v>148</v>
      </c>
      <c r="N12" s="32">
        <v>27</v>
      </c>
      <c r="O12" s="32">
        <v>2.0099999999999998</v>
      </c>
      <c r="P12" s="26"/>
      <c r="Q12" s="136">
        <v>10</v>
      </c>
      <c r="R12" s="31">
        <v>200</v>
      </c>
      <c r="T12" s="27"/>
      <c r="U12" s="39"/>
      <c r="V12" s="39"/>
      <c r="W12" s="39"/>
      <c r="X12" s="39"/>
      <c r="Y12" s="39"/>
      <c r="Z12" s="39"/>
      <c r="AA12" s="39"/>
      <c r="AB12" s="39"/>
      <c r="AC12" s="39"/>
    </row>
    <row r="13" spans="1:29" ht="15">
      <c r="A13" s="30">
        <v>11</v>
      </c>
      <c r="B13" s="29" t="s">
        <v>104</v>
      </c>
      <c r="C13" s="29">
        <v>22</v>
      </c>
      <c r="D13" s="29">
        <v>8</v>
      </c>
      <c r="E13" s="29">
        <v>0.9</v>
      </c>
      <c r="F13" s="29">
        <v>1.25</v>
      </c>
      <c r="G13" s="29">
        <v>0.65</v>
      </c>
      <c r="H13" s="29">
        <v>16.600000000000001</v>
      </c>
      <c r="I13" s="29">
        <v>37.4</v>
      </c>
      <c r="J13" s="29">
        <v>29.4</v>
      </c>
      <c r="K13" s="29">
        <v>2690</v>
      </c>
      <c r="L13" s="29">
        <v>245</v>
      </c>
      <c r="M13" s="29">
        <v>197</v>
      </c>
      <c r="N13" s="29">
        <v>33.6</v>
      </c>
      <c r="O13" s="29">
        <v>2.14</v>
      </c>
      <c r="P13" s="26"/>
      <c r="Q13" s="136">
        <v>11</v>
      </c>
      <c r="R13" s="31">
        <v>220</v>
      </c>
      <c r="T13" s="27"/>
      <c r="U13" s="39"/>
      <c r="V13" s="39"/>
      <c r="W13" s="39"/>
      <c r="X13" s="39"/>
      <c r="Y13" s="39"/>
      <c r="Z13" s="39"/>
      <c r="AA13" s="39"/>
      <c r="AB13" s="39"/>
      <c r="AC13" s="39"/>
    </row>
    <row r="14" spans="1:29" ht="15">
      <c r="A14" s="30">
        <v>12</v>
      </c>
      <c r="B14" s="32" t="s">
        <v>105</v>
      </c>
      <c r="C14" s="32">
        <v>24</v>
      </c>
      <c r="D14" s="32">
        <v>8.5</v>
      </c>
      <c r="E14" s="32">
        <v>0.95</v>
      </c>
      <c r="F14" s="32">
        <v>1.3</v>
      </c>
      <c r="G14" s="32">
        <v>0.65</v>
      </c>
      <c r="H14" s="32">
        <v>18.5</v>
      </c>
      <c r="I14" s="32">
        <v>42.3</v>
      </c>
      <c r="J14" s="32">
        <v>33.200000000000003</v>
      </c>
      <c r="K14" s="32">
        <v>3600</v>
      </c>
      <c r="L14" s="32">
        <v>300</v>
      </c>
      <c r="M14" s="32">
        <v>248</v>
      </c>
      <c r="N14" s="32">
        <v>39.6</v>
      </c>
      <c r="O14" s="32">
        <v>2.23</v>
      </c>
      <c r="P14" s="26"/>
      <c r="Q14" s="136">
        <v>12</v>
      </c>
      <c r="R14" s="31">
        <v>240</v>
      </c>
      <c r="T14" s="27"/>
      <c r="U14" s="39"/>
      <c r="V14" s="39"/>
      <c r="W14" s="39"/>
      <c r="X14" s="39"/>
      <c r="Y14" s="39"/>
      <c r="Z14" s="39"/>
      <c r="AA14" s="39"/>
      <c r="AB14" s="39"/>
      <c r="AC14" s="39"/>
    </row>
    <row r="15" spans="1:29" ht="15">
      <c r="A15" s="30">
        <v>13</v>
      </c>
      <c r="B15" s="29" t="s">
        <v>106</v>
      </c>
      <c r="C15" s="29">
        <v>26</v>
      </c>
      <c r="D15" s="29">
        <v>9</v>
      </c>
      <c r="E15" s="29">
        <v>1</v>
      </c>
      <c r="F15" s="29">
        <v>1.4</v>
      </c>
      <c r="G15" s="29">
        <v>0.7</v>
      </c>
      <c r="H15" s="29">
        <v>20.100000000000001</v>
      </c>
      <c r="I15" s="29">
        <v>48.3</v>
      </c>
      <c r="J15" s="29">
        <v>37.9</v>
      </c>
      <c r="K15" s="29">
        <v>4820</v>
      </c>
      <c r="L15" s="29">
        <v>371</v>
      </c>
      <c r="M15" s="29">
        <v>317</v>
      </c>
      <c r="N15" s="29">
        <v>47.7</v>
      </c>
      <c r="O15" s="29">
        <v>2.36</v>
      </c>
      <c r="P15" s="26"/>
      <c r="Q15" s="136">
        <v>13</v>
      </c>
      <c r="R15" s="31">
        <v>260</v>
      </c>
      <c r="T15" s="27"/>
      <c r="U15" s="39"/>
      <c r="V15" s="39"/>
      <c r="W15" s="39"/>
      <c r="X15" s="39"/>
      <c r="Y15" s="39"/>
      <c r="Z15" s="39"/>
      <c r="AA15" s="39"/>
      <c r="AB15" s="39"/>
      <c r="AC15" s="39"/>
    </row>
    <row r="16" spans="1:29" ht="15">
      <c r="A16" s="30">
        <v>14</v>
      </c>
      <c r="B16" s="32" t="s">
        <v>107</v>
      </c>
      <c r="C16" s="32">
        <v>28</v>
      </c>
      <c r="D16" s="32">
        <v>9.5</v>
      </c>
      <c r="E16" s="32">
        <v>1</v>
      </c>
      <c r="F16" s="32">
        <v>1.5</v>
      </c>
      <c r="G16" s="32">
        <v>0.75</v>
      </c>
      <c r="H16" s="32">
        <v>21.6</v>
      </c>
      <c r="I16" s="32">
        <v>53.3</v>
      </c>
      <c r="J16" s="32">
        <v>41.8</v>
      </c>
      <c r="K16" s="32">
        <v>6280</v>
      </c>
      <c r="L16" s="32">
        <v>448</v>
      </c>
      <c r="M16" s="32">
        <v>399</v>
      </c>
      <c r="N16" s="32">
        <v>57.2</v>
      </c>
      <c r="O16" s="32">
        <v>2.5299999999999998</v>
      </c>
      <c r="P16" s="26"/>
      <c r="Q16" s="136">
        <v>14</v>
      </c>
      <c r="R16" s="31">
        <v>280</v>
      </c>
      <c r="T16" s="27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ht="15">
      <c r="A17" s="110">
        <v>15</v>
      </c>
      <c r="B17" s="135" t="s">
        <v>108</v>
      </c>
      <c r="C17" s="135">
        <v>30</v>
      </c>
      <c r="D17" s="135">
        <v>10</v>
      </c>
      <c r="E17" s="135">
        <v>1</v>
      </c>
      <c r="F17" s="135">
        <v>1.6</v>
      </c>
      <c r="G17" s="135">
        <v>0.8</v>
      </c>
      <c r="H17" s="29">
        <v>23.2</v>
      </c>
      <c r="I17" s="29">
        <v>58.8</v>
      </c>
      <c r="J17" s="29">
        <v>46.2</v>
      </c>
      <c r="K17" s="29">
        <v>8030</v>
      </c>
      <c r="L17" s="29">
        <v>535</v>
      </c>
      <c r="M17" s="29">
        <v>495</v>
      </c>
      <c r="N17" s="29">
        <v>67.8</v>
      </c>
      <c r="O17" s="29">
        <v>2.7</v>
      </c>
      <c r="P17" s="26"/>
      <c r="Q17" s="136">
        <v>15</v>
      </c>
      <c r="R17" s="31">
        <v>300</v>
      </c>
      <c r="T17" s="27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ht="15">
      <c r="A18" s="62"/>
      <c r="B18" s="115"/>
      <c r="C18" s="115"/>
      <c r="D18" s="115"/>
      <c r="E18" s="115"/>
      <c r="F18" s="115"/>
      <c r="G18" s="115"/>
      <c r="H18" s="26"/>
      <c r="I18" s="26"/>
      <c r="J18" s="26"/>
      <c r="K18" s="26"/>
      <c r="L18" s="26"/>
      <c r="M18" s="26"/>
      <c r="N18" s="26"/>
      <c r="O18" s="26"/>
      <c r="P18" s="26"/>
      <c r="Q18" s="36"/>
      <c r="R18" s="36"/>
      <c r="S18" s="27"/>
      <c r="T18" s="27"/>
      <c r="U18" s="39"/>
      <c r="V18" s="39"/>
      <c r="W18" s="39"/>
      <c r="X18" s="39"/>
      <c r="Y18" s="39"/>
      <c r="Z18" s="39"/>
      <c r="AA18" s="39"/>
      <c r="AB18" s="39"/>
      <c r="AC18" s="39"/>
    </row>
    <row r="19" spans="1:29" ht="18">
      <c r="A19" s="62"/>
      <c r="B19" s="116" t="s">
        <v>39</v>
      </c>
      <c r="C19" s="115"/>
      <c r="D19" s="62"/>
      <c r="E19" s="272">
        <v>2</v>
      </c>
      <c r="F19" s="203"/>
      <c r="G19" s="128" t="s">
        <v>177</v>
      </c>
      <c r="H19" s="224">
        <v>9</v>
      </c>
      <c r="I19" s="204"/>
      <c r="J19" s="197"/>
      <c r="K19" s="197" t="s">
        <v>178</v>
      </c>
      <c r="L19" s="204"/>
      <c r="M19" s="3"/>
      <c r="N19" s="115"/>
      <c r="O19" s="115"/>
      <c r="P19" s="115"/>
      <c r="Q19" s="126">
        <f>1/(1+(S14/(2*Q16)))</f>
        <v>1</v>
      </c>
      <c r="R19" s="18" t="e">
        <f>S18/X17</f>
        <v>#DIV/0!</v>
      </c>
      <c r="S19" s="27"/>
      <c r="T19" s="27"/>
      <c r="U19" s="39"/>
      <c r="V19" s="39"/>
      <c r="W19" s="39"/>
      <c r="X19" s="39"/>
      <c r="Y19" s="39"/>
      <c r="Z19" s="39"/>
      <c r="AA19" s="39"/>
      <c r="AB19" s="39"/>
      <c r="AC19" s="39"/>
    </row>
    <row r="20" spans="1:29" ht="15.75" thickBot="1">
      <c r="A20" s="6"/>
      <c r="B20" s="6"/>
      <c r="C20" s="6"/>
      <c r="D20" s="6"/>
      <c r="E20" s="6"/>
      <c r="F20" s="6"/>
      <c r="G20" s="201"/>
      <c r="H20" s="201"/>
      <c r="I20" s="6"/>
      <c r="J20" s="6"/>
      <c r="K20" s="6"/>
      <c r="L20" s="6"/>
      <c r="M20" s="6"/>
      <c r="N20" s="6"/>
      <c r="O20" s="6"/>
      <c r="P20" s="6"/>
      <c r="Q20" s="62" t="s">
        <v>93</v>
      </c>
      <c r="R20" s="36" t="b">
        <f>IF(H19=1,R3,IF(H19=2,R4,IF(H19=3,R5,IF(H19=4,R6,IF(H19=5,R7,IF(H19=6,R8,IF(H19=7,R9,IF(H19=8,R10))))))))</f>
        <v>0</v>
      </c>
      <c r="S20" s="27"/>
      <c r="T20" s="27"/>
      <c r="U20" s="39"/>
      <c r="V20" s="39"/>
      <c r="W20" s="39"/>
      <c r="X20" s="39"/>
      <c r="Y20" s="39"/>
      <c r="Z20" s="39"/>
      <c r="AA20" s="39"/>
      <c r="AB20" s="39"/>
      <c r="AC20" s="39"/>
    </row>
    <row r="21" spans="1:29" ht="20.100000000000001" customHeight="1" thickTop="1">
      <c r="A21" s="156"/>
      <c r="B21" s="134" t="s">
        <v>188</v>
      </c>
      <c r="C21" s="157"/>
      <c r="D21" s="157"/>
      <c r="E21" s="273">
        <v>1</v>
      </c>
      <c r="F21" s="157"/>
      <c r="G21" s="157"/>
      <c r="H21" s="158"/>
      <c r="I21" s="158"/>
      <c r="J21" s="157"/>
      <c r="K21" s="157"/>
      <c r="L21" s="159"/>
      <c r="M21" s="160"/>
      <c r="N21" s="203"/>
      <c r="O21" s="6"/>
      <c r="P21" s="115"/>
      <c r="Q21" s="62"/>
      <c r="R21" s="36">
        <f>IF(H19=9,R11,IF(H19=10,R12,IF(H19=11,R13,IF(H19=12,R14,IF(H19=13,R15,IF(H19=14,R16,IF(H19=15,R17)))))))</f>
        <v>180</v>
      </c>
      <c r="S21" s="27"/>
      <c r="T21" s="27"/>
      <c r="U21" s="39"/>
      <c r="V21" s="39"/>
      <c r="W21" s="39"/>
      <c r="X21" s="39"/>
      <c r="Y21" s="39"/>
      <c r="Z21" s="39"/>
      <c r="AA21" s="39"/>
      <c r="AB21" s="39"/>
      <c r="AC21" s="39"/>
    </row>
    <row r="22" spans="1:29" ht="20.100000000000001" customHeight="1">
      <c r="A22" s="161"/>
      <c r="B22" s="125" t="str">
        <f>IF($E$21=1,"√","")</f>
        <v>√</v>
      </c>
      <c r="C22" s="162" t="s">
        <v>189</v>
      </c>
      <c r="D22" s="163" t="s">
        <v>185</v>
      </c>
      <c r="E22" s="6"/>
      <c r="F22" s="6"/>
      <c r="G22" s="6"/>
      <c r="H22" s="166"/>
      <c r="I22" s="166"/>
      <c r="J22" s="6"/>
      <c r="K22" s="160"/>
      <c r="L22" s="164"/>
      <c r="M22" s="160"/>
      <c r="N22" s="203"/>
      <c r="O22" s="6"/>
      <c r="P22" s="115"/>
      <c r="Q22" s="62" t="s">
        <v>126</v>
      </c>
      <c r="R22" s="36" t="b">
        <f>IF(H19=1,K3,IF(H19=2,K4,IF(H19=3,K5,IF(H19=4,K6,IF(H19=5,K7,IF(H19=6,K8,IF(H19=7,K9,IF(H19=8,K10))))))))</f>
        <v>0</v>
      </c>
      <c r="S22" s="27"/>
      <c r="T22" s="27"/>
      <c r="U22" s="39"/>
      <c r="V22" s="39"/>
      <c r="W22" s="39"/>
      <c r="X22" s="39"/>
      <c r="Y22" s="39"/>
      <c r="Z22" s="39"/>
      <c r="AA22" s="39"/>
      <c r="AB22" s="39"/>
      <c r="AC22" s="39"/>
    </row>
    <row r="23" spans="1:29" ht="20.100000000000001" customHeight="1">
      <c r="A23" s="165"/>
      <c r="B23" s="125" t="str">
        <f>IF($E$21=2,"√","")</f>
        <v/>
      </c>
      <c r="C23" s="20" t="s">
        <v>190</v>
      </c>
      <c r="D23" s="163" t="s">
        <v>187</v>
      </c>
      <c r="E23" s="6"/>
      <c r="F23" s="6"/>
      <c r="G23" s="6"/>
      <c r="H23" s="166"/>
      <c r="K23" s="6"/>
      <c r="L23" s="167"/>
      <c r="M23" s="160"/>
      <c r="N23" s="203"/>
      <c r="O23" s="6"/>
      <c r="P23" s="115"/>
      <c r="Q23" s="62"/>
      <c r="R23" s="36">
        <f>IF(H19=9,K11,IF(H19=10,K12,IF(H19=11,K13,IF(H19=12,K14,IF(H19=13,K15,IF(H19=14,K16,IF(H19=15,K17)))))))</f>
        <v>1350</v>
      </c>
      <c r="S23" s="27"/>
      <c r="T23" s="27"/>
      <c r="U23" s="39"/>
      <c r="V23" s="39"/>
      <c r="W23" s="39"/>
      <c r="X23" s="39"/>
      <c r="Y23" s="39"/>
      <c r="Z23" s="39"/>
      <c r="AA23" s="39"/>
      <c r="AB23" s="39"/>
      <c r="AC23" s="39"/>
    </row>
    <row r="24" spans="1:29" ht="20.100000000000001" customHeight="1">
      <c r="A24" s="165"/>
      <c r="B24" s="125" t="str">
        <f>IF($E$21=3,"√","")</f>
        <v/>
      </c>
      <c r="C24" s="162" t="s">
        <v>191</v>
      </c>
      <c r="D24" s="163" t="s">
        <v>186</v>
      </c>
      <c r="E24" s="6"/>
      <c r="F24" s="6"/>
      <c r="G24" s="6"/>
      <c r="H24" s="6"/>
      <c r="K24" s="20"/>
      <c r="L24" s="57"/>
      <c r="M24" s="6"/>
      <c r="N24" s="6"/>
      <c r="O24" s="6"/>
      <c r="P24" s="3"/>
      <c r="Q24" s="62" t="s">
        <v>127</v>
      </c>
      <c r="R24" s="36" t="b">
        <f>IF(H19=1,L3,IF(H19=2,L4,IF(H19=3,L5,IF(H19=4,L6,IF(H19=5,L7,IF(H19=6,L8,IF(H19=7,L9,IF(H19=8,L10))))))))</f>
        <v>0</v>
      </c>
      <c r="S24" s="27"/>
      <c r="T24" s="27"/>
      <c r="U24" s="39"/>
      <c r="V24" s="39"/>
      <c r="W24" s="39"/>
      <c r="X24" s="39"/>
      <c r="Y24" s="39"/>
      <c r="Z24" s="39"/>
      <c r="AA24" s="39"/>
      <c r="AB24" s="39"/>
      <c r="AC24" s="39"/>
    </row>
    <row r="25" spans="1:29" ht="20.100000000000001" customHeight="1">
      <c r="A25" s="56" t="s">
        <v>118</v>
      </c>
      <c r="B25" s="20"/>
      <c r="C25" s="20"/>
      <c r="D25" s="20"/>
      <c r="E25" s="160"/>
      <c r="F25" s="185"/>
      <c r="G25" s="160"/>
      <c r="H25" s="160"/>
      <c r="I25" s="160"/>
      <c r="J25" s="160"/>
      <c r="K25" s="160"/>
      <c r="L25" s="164"/>
      <c r="M25" s="160"/>
      <c r="N25" s="6"/>
      <c r="O25" s="3"/>
      <c r="P25" s="115"/>
      <c r="Q25" s="62"/>
      <c r="R25" s="36">
        <f>IF(H19=9,L11,IF(H19=10,L12,IF(H19=11,L13,IF(H19=12,L14,IF(H19=13,L15,IF(H19=14,L16,IF(H19=15,L17)))))))</f>
        <v>150</v>
      </c>
      <c r="S25" s="27"/>
      <c r="T25" s="27"/>
      <c r="U25" s="39"/>
      <c r="V25" s="39"/>
      <c r="W25" s="39"/>
      <c r="X25" s="39"/>
      <c r="Y25" s="39"/>
      <c r="Z25" s="39"/>
      <c r="AA25" s="39"/>
      <c r="AB25" s="39"/>
      <c r="AC25" s="39"/>
    </row>
    <row r="26" spans="1:29" ht="20.100000000000001" customHeight="1">
      <c r="A26" s="161"/>
      <c r="B26" s="21" t="s">
        <v>183</v>
      </c>
      <c r="C26" s="44">
        <v>320</v>
      </c>
      <c r="D26" s="22" t="s">
        <v>70</v>
      </c>
      <c r="E26" s="21" t="s">
        <v>28</v>
      </c>
      <c r="F26" s="44">
        <v>2400</v>
      </c>
      <c r="G26" s="22" t="s">
        <v>26</v>
      </c>
      <c r="H26" s="21" t="s">
        <v>32</v>
      </c>
      <c r="I26" s="130">
        <v>0.6</v>
      </c>
      <c r="J26" s="21" t="s">
        <v>113</v>
      </c>
      <c r="K26" s="130">
        <v>53</v>
      </c>
      <c r="L26" s="55" t="s">
        <v>115</v>
      </c>
      <c r="M26" s="160"/>
      <c r="N26" s="203"/>
      <c r="O26" s="6"/>
      <c r="P26" s="115"/>
      <c r="Q26" s="62" t="s">
        <v>130</v>
      </c>
      <c r="R26" s="36" t="b">
        <f>IF(H19=1,M3,IF(H19=2,M4,IF(H19=3,M5,IF(H19=4,M6,IF(H19=5,M7,IF(H19=6,M8,IF(H19=7,M9,IF(H19=8,M10))))))))</f>
        <v>0</v>
      </c>
      <c r="S26" s="27"/>
      <c r="T26" s="27"/>
      <c r="U26" s="39"/>
      <c r="V26" s="39"/>
      <c r="W26" s="39"/>
      <c r="X26" s="39"/>
      <c r="Y26" s="39"/>
      <c r="Z26" s="39"/>
      <c r="AA26" s="39"/>
      <c r="AB26" s="39"/>
      <c r="AC26" s="39"/>
    </row>
    <row r="27" spans="1:29" ht="20.100000000000001" customHeight="1">
      <c r="A27" s="161"/>
      <c r="B27" s="21" t="s">
        <v>184</v>
      </c>
      <c r="C27" s="44">
        <v>3.8</v>
      </c>
      <c r="D27" s="22" t="s">
        <v>70</v>
      </c>
      <c r="E27" s="21" t="s">
        <v>116</v>
      </c>
      <c r="F27" s="168" t="str">
        <f>IF(F21="",CHOOSE(E21,"0.5","1","1"),"ERROR!!")</f>
        <v>0.5</v>
      </c>
      <c r="G27" s="21" t="s">
        <v>117</v>
      </c>
      <c r="H27" s="168" t="str">
        <f>IF(F21="",CHOOSE(E21,"0.67","1","1"),"ERROR!!")</f>
        <v>0.67</v>
      </c>
      <c r="I27" s="6"/>
      <c r="J27" s="21"/>
      <c r="K27" s="130"/>
      <c r="L27" s="55"/>
      <c r="M27" s="160"/>
      <c r="N27" s="203"/>
      <c r="O27" s="6"/>
      <c r="P27" s="115"/>
      <c r="Q27" s="62"/>
      <c r="R27" s="36">
        <f>IF(H19=9,M11,IF(H19=10,M12,IF(H19=11,M13,IF(H19=12,M14,IF(H19=13,M15,IF(H19=14,M16,IF(H19=15,M17)))))))</f>
        <v>114</v>
      </c>
      <c r="S27" s="27"/>
      <c r="T27" s="27"/>
      <c r="U27" s="39"/>
      <c r="V27" s="39"/>
      <c r="W27" s="39"/>
      <c r="X27" s="39"/>
      <c r="Y27" s="39"/>
      <c r="Z27" s="39"/>
      <c r="AA27" s="39"/>
      <c r="AB27" s="39"/>
      <c r="AC27" s="39"/>
    </row>
    <row r="28" spans="1:29" ht="20.100000000000001" customHeight="1">
      <c r="A28" s="161"/>
      <c r="B28" s="21" t="s">
        <v>114</v>
      </c>
      <c r="C28" s="169">
        <f>IF(F21="",CHOOSE(E21,(C26^2+C27^2)^0.5,((C26/2)^2+C27^2)^0.5,(C26^2+C27^2)^0.5),"")</f>
        <v>320.02256170463983</v>
      </c>
      <c r="D28" s="22" t="s">
        <v>70</v>
      </c>
      <c r="E28" s="21" t="s">
        <v>120</v>
      </c>
      <c r="F28" s="126">
        <f>I26*F26</f>
        <v>1440</v>
      </c>
      <c r="G28" s="22" t="s">
        <v>26</v>
      </c>
      <c r="H28" s="6"/>
      <c r="I28" s="6"/>
      <c r="L28" s="312"/>
      <c r="M28" s="6"/>
      <c r="N28" s="203"/>
      <c r="O28" s="6"/>
      <c r="P28" s="115"/>
      <c r="Q28" s="62" t="s">
        <v>133</v>
      </c>
      <c r="R28" s="36" t="b">
        <f>IF(H19=1,N3,IF(H19=2,N4,IF(H19=3,N5,IF(H19=4,N6,IF(H19=5,N7,IF(H19=6,N8,IF(H19=7,N9,IF(H19=8,N10))))))))</f>
        <v>0</v>
      </c>
      <c r="S28" s="27"/>
      <c r="T28" s="27"/>
      <c r="U28" s="39"/>
      <c r="V28" s="39"/>
      <c r="W28" s="39"/>
      <c r="X28" s="39"/>
      <c r="Y28" s="39"/>
      <c r="Z28" s="39"/>
      <c r="AA28" s="39"/>
      <c r="AB28" s="39"/>
      <c r="AC28" s="39"/>
    </row>
    <row r="29" spans="1:29" ht="20.100000000000001" customHeight="1">
      <c r="A29" s="161"/>
      <c r="B29" s="22" t="s">
        <v>123</v>
      </c>
      <c r="C29" s="20"/>
      <c r="D29" s="20"/>
      <c r="E29" s="20"/>
      <c r="F29" s="20"/>
      <c r="G29" s="20"/>
      <c r="H29" s="44">
        <v>1</v>
      </c>
      <c r="I29" s="20" t="s">
        <v>70</v>
      </c>
      <c r="L29" s="312"/>
      <c r="M29" s="6"/>
      <c r="N29" s="6"/>
      <c r="O29" s="6"/>
      <c r="P29" s="115"/>
      <c r="Q29" s="62"/>
      <c r="R29" s="36">
        <f>IF(H19=9,N11,IF(H19=10,N12,IF(H19=11,N13,IF(H19=12,N14,IF(H19=13,N15,IF(H19=14,N16,IF(H19=15,N17)))))))</f>
        <v>22.4</v>
      </c>
      <c r="S29" s="27"/>
      <c r="T29" s="27"/>
      <c r="U29" s="39"/>
      <c r="V29" s="39"/>
      <c r="W29" s="39"/>
      <c r="X29" s="39"/>
      <c r="Y29" s="39"/>
      <c r="Z29" s="39"/>
      <c r="AA29" s="39"/>
      <c r="AB29" s="39"/>
      <c r="AC29" s="39"/>
    </row>
    <row r="30" spans="1:29" ht="20.100000000000001" customHeight="1">
      <c r="A30" s="484" t="str">
        <f>IF(NOT(E21=2),"        A(req)=P/Fb=","     A(req)=1.5*P/Fb=")</f>
        <v xml:space="preserve">        A(req)=P/Fb=</v>
      </c>
      <c r="B30" s="7"/>
      <c r="C30" s="7"/>
      <c r="D30" s="20">
        <f>K26*1000/F28</f>
        <v>36.805555555555557</v>
      </c>
      <c r="E30" s="20" t="s">
        <v>122</v>
      </c>
      <c r="F30" s="160"/>
      <c r="G30" s="160"/>
      <c r="H30" s="160"/>
      <c r="I30" s="160"/>
      <c r="J30" s="160"/>
      <c r="K30" s="6"/>
      <c r="L30" s="167"/>
      <c r="M30" s="6"/>
      <c r="N30" s="6"/>
      <c r="O30" s="3"/>
      <c r="P30" s="115"/>
      <c r="Q30" s="62" t="s">
        <v>134</v>
      </c>
      <c r="R30" s="36" t="b">
        <f>IF(H19=1,I3,IF(H19=2,I4,IF(H19=3,I5,IF(H19=4,I6,IF(H19=5,I7,IF(H19=6,I8,IF(H19=7,I9,IF(H19=8,I10))))))))</f>
        <v>0</v>
      </c>
      <c r="S30" s="27"/>
      <c r="T30" s="18" t="s">
        <v>313</v>
      </c>
      <c r="U30" s="18" t="e">
        <f>V29/AA28</f>
        <v>#DIV/0!</v>
      </c>
      <c r="W30" s="39"/>
      <c r="X30" s="39"/>
      <c r="Y30" s="39"/>
      <c r="Z30" s="39"/>
      <c r="AA30" s="39"/>
      <c r="AB30" s="39"/>
      <c r="AC30" s="39"/>
    </row>
    <row r="31" spans="1:29" ht="20.100000000000001" customHeight="1">
      <c r="A31" s="161"/>
      <c r="B31" s="160"/>
      <c r="C31" s="160"/>
      <c r="D31" s="160"/>
      <c r="E31" s="160"/>
      <c r="F31" s="160"/>
      <c r="G31" s="160"/>
      <c r="H31" s="160"/>
      <c r="L31" s="167"/>
      <c r="M31" s="20"/>
      <c r="N31" s="20"/>
      <c r="O31" s="20"/>
      <c r="P31" s="115"/>
      <c r="Q31" s="62"/>
      <c r="R31" s="36">
        <f>IF(H19=9,I11,IF(H19=10,I12,IF(H19=11,I13,IF(H19=12,I14,IF(H19=13,I15,IF(H19=14,I16,IF(H19=15,I17)))))))</f>
        <v>28</v>
      </c>
      <c r="S31" s="27"/>
      <c r="W31" s="39"/>
      <c r="X31" s="39"/>
      <c r="Y31" s="39"/>
      <c r="Z31" s="39"/>
      <c r="AA31" s="39"/>
      <c r="AB31" s="39"/>
      <c r="AC31" s="39"/>
    </row>
    <row r="32" spans="1:29" ht="20.100000000000001" customHeight="1">
      <c r="A32" s="56" t="s">
        <v>42</v>
      </c>
      <c r="B32" s="25"/>
      <c r="C32" s="160"/>
      <c r="D32" s="160"/>
      <c r="E32" s="129">
        <f>E19</f>
        <v>2</v>
      </c>
      <c r="F32" s="105" t="s">
        <v>93</v>
      </c>
      <c r="G32" s="105">
        <f>MAX(R21,R20)</f>
        <v>180</v>
      </c>
      <c r="H32" s="185"/>
      <c r="L32" s="173"/>
      <c r="M32" s="20"/>
      <c r="N32" s="20"/>
      <c r="O32" s="20"/>
      <c r="P32" s="115"/>
      <c r="Q32" s="62" t="s">
        <v>135</v>
      </c>
      <c r="R32" s="36" t="b">
        <f>IF(H19=1,D3,IF(H19=2,D4,IF(H19=3,D5,IF(H19=4,D6,IF(H19=5,D7,IF(H19=6,D8,IF(H19=7,D9,IF(H19=8,D10))))))))</f>
        <v>0</v>
      </c>
      <c r="S32" s="27"/>
      <c r="T32" s="27"/>
      <c r="U32" s="39"/>
      <c r="V32" s="39"/>
      <c r="W32" s="39"/>
      <c r="X32" s="39"/>
      <c r="Y32" s="39"/>
      <c r="Z32" s="39"/>
      <c r="AA32" s="39"/>
      <c r="AB32" s="39"/>
      <c r="AC32" s="39"/>
    </row>
    <row r="33" spans="1:29" ht="20.100000000000001" customHeight="1">
      <c r="A33" s="56" t="s">
        <v>179</v>
      </c>
      <c r="B33" s="25"/>
      <c r="C33" s="25"/>
      <c r="D33" s="25"/>
      <c r="E33" s="160"/>
      <c r="F33" s="160"/>
      <c r="G33" s="160"/>
      <c r="H33" s="185"/>
      <c r="L33" s="173"/>
      <c r="M33" s="6"/>
      <c r="N33" s="6"/>
      <c r="O33" s="3"/>
      <c r="P33" s="115"/>
      <c r="Q33" s="62"/>
      <c r="R33" s="36">
        <f>IF(H19=9,D11,IF(H19=10,D12,IF(H19=11,D13,IF(H19=12,D14,IF(H19=13,D15,IF(H19=14,D16,IF(H19=15,D17)))))))</f>
        <v>7</v>
      </c>
      <c r="S33" s="27"/>
      <c r="T33" s="27"/>
      <c r="U33" s="39"/>
      <c r="V33" s="39"/>
      <c r="W33" s="39"/>
      <c r="X33" s="39"/>
      <c r="Y33" s="39"/>
      <c r="Z33" s="39"/>
      <c r="AA33" s="39"/>
      <c r="AB33" s="39"/>
      <c r="AC33" s="39"/>
    </row>
    <row r="34" spans="1:29" ht="20.100000000000001" customHeight="1">
      <c r="A34" s="171"/>
      <c r="B34" s="20"/>
      <c r="C34" s="20"/>
      <c r="D34" s="20"/>
      <c r="E34" s="20"/>
      <c r="F34" s="21" t="str">
        <f>F32</f>
        <v>UNP</v>
      </c>
      <c r="G34" s="22">
        <f>G32</f>
        <v>180</v>
      </c>
      <c r="H34" s="20"/>
      <c r="I34" s="20"/>
      <c r="J34" s="20"/>
      <c r="K34" s="20"/>
      <c r="L34" s="57"/>
      <c r="M34" s="6"/>
      <c r="N34" s="6"/>
      <c r="O34" s="3"/>
      <c r="P34" s="115"/>
      <c r="Q34" s="62" t="s">
        <v>136</v>
      </c>
      <c r="R34" s="36" t="b">
        <f>IF(H19=1,O3,IF(H19=2,O4,IF(H19=3,O5,IF(H19=4,O6,IF(H19=5,O7,IF(H19=6,O8,IF(H19=7,O9,IF(H19=8,O10))))))))</f>
        <v>0</v>
      </c>
      <c r="S34" s="27"/>
      <c r="T34" s="27"/>
      <c r="U34" s="39"/>
      <c r="V34" s="39"/>
      <c r="W34" s="39"/>
      <c r="X34" s="39"/>
      <c r="Y34" s="39"/>
      <c r="Z34" s="39"/>
      <c r="AA34" s="39"/>
      <c r="AB34" s="39"/>
      <c r="AC34" s="39"/>
    </row>
    <row r="35" spans="1:29" ht="20.100000000000001" customHeight="1">
      <c r="A35" s="54" t="s">
        <v>124</v>
      </c>
      <c r="B35" s="18">
        <f>MAX(R23,R22)</f>
        <v>1350</v>
      </c>
      <c r="C35" s="22" t="s">
        <v>128</v>
      </c>
      <c r="D35" s="21" t="s">
        <v>131</v>
      </c>
      <c r="E35" s="18">
        <f>MAX(R26,R27)</f>
        <v>114</v>
      </c>
      <c r="F35" s="22" t="s">
        <v>128</v>
      </c>
      <c r="G35" s="20" t="s">
        <v>134</v>
      </c>
      <c r="H35" s="18">
        <f>MAX(R30,R31)</f>
        <v>28</v>
      </c>
      <c r="I35" s="22" t="s">
        <v>122</v>
      </c>
      <c r="J35" s="20" t="s">
        <v>136</v>
      </c>
      <c r="K35" s="18">
        <f>MAX(R34,R35)</f>
        <v>1.92</v>
      </c>
      <c r="L35" s="58" t="s">
        <v>70</v>
      </c>
      <c r="M35" s="20"/>
      <c r="N35" s="20"/>
      <c r="O35" s="20"/>
      <c r="P35" s="115"/>
      <c r="Q35" s="62"/>
      <c r="R35" s="36">
        <f>IF(H19=9,O11,IF(H19=10,O12,IF(H19=11,O13,IF(H19=12,O14,IF(H19=13,O15,IF(H19=14,O16,IF(H19=15,O17)))))))</f>
        <v>1.92</v>
      </c>
      <c r="S35" s="27"/>
      <c r="T35" s="27"/>
      <c r="U35" s="39"/>
      <c r="V35" s="39"/>
      <c r="W35" s="39"/>
      <c r="X35" s="39"/>
      <c r="Y35" s="39"/>
      <c r="Z35" s="39"/>
      <c r="AA35" s="39"/>
      <c r="AB35" s="39"/>
      <c r="AC35" s="39"/>
    </row>
    <row r="36" spans="1:29" ht="20.100000000000001" customHeight="1">
      <c r="A36" s="54" t="s">
        <v>125</v>
      </c>
      <c r="B36" s="18">
        <f>MAX(R25,R24)</f>
        <v>150</v>
      </c>
      <c r="C36" s="22" t="s">
        <v>129</v>
      </c>
      <c r="D36" s="21" t="s">
        <v>132</v>
      </c>
      <c r="E36" s="18">
        <f>MAX(R28,R29)</f>
        <v>22.4</v>
      </c>
      <c r="F36" s="22" t="s">
        <v>129</v>
      </c>
      <c r="G36" s="20" t="s">
        <v>135</v>
      </c>
      <c r="H36" s="18">
        <f>MAX(R32,R33)</f>
        <v>7</v>
      </c>
      <c r="I36" s="22" t="s">
        <v>70</v>
      </c>
      <c r="J36" s="20" t="s">
        <v>137</v>
      </c>
      <c r="K36" s="18">
        <f>H36-K35</f>
        <v>5.08</v>
      </c>
      <c r="L36" s="58" t="s">
        <v>70</v>
      </c>
      <c r="M36" s="20"/>
      <c r="N36" s="20"/>
      <c r="O36" s="20"/>
      <c r="P36" s="115"/>
      <c r="Q36" t="s">
        <v>135</v>
      </c>
      <c r="R36" s="36" t="b">
        <f>IF(H19=1,D3,IF(H19=2,D4,IF(H19=3,D5,IF(H19=4,D6,IF(H191=5,D7,IF(H19=6,D8,IF(H19=7,D9,IF(H21=8,D10))))))))</f>
        <v>0</v>
      </c>
      <c r="S36" s="27"/>
      <c r="T36" s="27"/>
      <c r="U36" s="39"/>
      <c r="V36" s="39"/>
      <c r="W36" s="39"/>
      <c r="X36" s="39"/>
      <c r="Y36" s="39"/>
      <c r="Z36" s="39"/>
      <c r="AA36" s="39"/>
      <c r="AB36" s="39"/>
      <c r="AC36" s="39"/>
    </row>
    <row r="37" spans="1:29" ht="20.100000000000001" customHeight="1">
      <c r="A37" s="54" t="s">
        <v>134</v>
      </c>
      <c r="B37" s="20">
        <f>E32*H35+2*F39*H39</f>
        <v>56</v>
      </c>
      <c r="C37" s="22" t="s">
        <v>122</v>
      </c>
      <c r="D37" s="20" t="str">
        <f>IF(D30&gt;B37,"&lt;","&gt;")</f>
        <v>&gt;</v>
      </c>
      <c r="E37" s="170" t="s">
        <v>138</v>
      </c>
      <c r="F37" s="126" t="str">
        <f>IF(D37="&gt;","O.K","N.G.")</f>
        <v>O.K</v>
      </c>
      <c r="G37" s="22"/>
      <c r="H37" s="20"/>
      <c r="I37" s="20"/>
      <c r="J37" s="20"/>
      <c r="K37" s="20"/>
      <c r="L37" s="57"/>
      <c r="M37" s="6"/>
      <c r="N37" s="6"/>
      <c r="O37" s="3"/>
      <c r="P37" s="115"/>
      <c r="R37" s="36">
        <f>IF(H19=9,D11,IF(H19=10,D12,IF(H19=11,D13,IF(H19=12,D14,IF(H19=13,D15,IF(H19=14,D16,IF(H19=15,D17)))))))</f>
        <v>7</v>
      </c>
      <c r="S37" s="27"/>
      <c r="T37" s="27"/>
      <c r="U37" s="39"/>
      <c r="V37" s="39"/>
      <c r="W37" s="39"/>
      <c r="X37" s="39"/>
      <c r="Y37" s="39"/>
      <c r="Z37" s="39"/>
      <c r="AA37" s="39"/>
      <c r="AB37" s="39"/>
      <c r="AC37" s="39"/>
    </row>
    <row r="38" spans="1:29" ht="20.100000000000001" customHeight="1">
      <c r="A38" s="54" t="s">
        <v>137</v>
      </c>
      <c r="B38" s="20">
        <f>K36+(H29/2)</f>
        <v>5.58</v>
      </c>
      <c r="C38" s="22" t="s">
        <v>70</v>
      </c>
      <c r="E38" s="355"/>
      <c r="F38" s="5"/>
      <c r="G38" s="162"/>
      <c r="H38" s="5"/>
      <c r="L38" s="312"/>
      <c r="M38" s="6"/>
      <c r="N38" s="6"/>
      <c r="Q38" s="62"/>
      <c r="S38" s="27"/>
      <c r="T38" s="27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20.100000000000001" customHeight="1">
      <c r="A39" s="345" t="s">
        <v>169</v>
      </c>
      <c r="B39" s="162">
        <f>MAX(R36:R37)+H29/2+H39/2</f>
        <v>7.5</v>
      </c>
      <c r="C39" s="22" t="s">
        <v>70</v>
      </c>
      <c r="E39" s="172" t="s">
        <v>135</v>
      </c>
      <c r="F39" s="465">
        <v>0</v>
      </c>
      <c r="G39" s="172" t="s">
        <v>167</v>
      </c>
      <c r="H39" s="465">
        <v>0</v>
      </c>
      <c r="I39" s="5"/>
      <c r="J39" s="20"/>
      <c r="K39" s="20"/>
      <c r="L39" s="57"/>
      <c r="M39" s="6"/>
      <c r="O39" s="3"/>
      <c r="P39" s="115"/>
      <c r="Q39" s="21" t="s">
        <v>124</v>
      </c>
      <c r="R39" s="62">
        <f>2*MAX(R22,R23)+2*F39^3*H39/12</f>
        <v>2700</v>
      </c>
      <c r="S39" s="27"/>
      <c r="T39" s="27"/>
      <c r="U39" s="39"/>
      <c r="V39" s="39"/>
      <c r="W39" s="39"/>
      <c r="X39" s="39"/>
      <c r="Y39" s="39"/>
      <c r="Z39" s="39"/>
      <c r="AA39" s="39"/>
      <c r="AB39" s="39"/>
      <c r="AC39" s="39"/>
    </row>
    <row r="40" spans="1:29" ht="20.100000000000001" customHeight="1">
      <c r="A40" s="246"/>
      <c r="D40" s="6"/>
      <c r="E40" s="60"/>
      <c r="F40" s="60"/>
      <c r="G40" s="60"/>
      <c r="H40" s="5"/>
      <c r="I40" s="5"/>
      <c r="J40" s="6"/>
      <c r="K40" s="6"/>
      <c r="L40" s="167"/>
      <c r="M40" s="160"/>
      <c r="O40" s="160"/>
      <c r="P40" s="62"/>
      <c r="Q40" s="21" t="s">
        <v>131</v>
      </c>
      <c r="R40" s="62">
        <f>2*MAX(R26,R27)+2*F39*H39^3/12+2*F39*H39*B39^2+2*H35*B38^2</f>
        <v>1971.6384</v>
      </c>
      <c r="S40" s="27"/>
      <c r="T40" s="27"/>
      <c r="U40" s="39"/>
      <c r="V40" s="39"/>
      <c r="W40" s="39"/>
      <c r="X40" s="39"/>
      <c r="Y40" s="39"/>
      <c r="Z40" s="39"/>
      <c r="AA40" s="39"/>
      <c r="AB40" s="39"/>
      <c r="AC40" s="39"/>
    </row>
    <row r="41" spans="1:29" ht="20.100000000000001" customHeight="1">
      <c r="A41" s="54" t="s">
        <v>139</v>
      </c>
      <c r="B41" s="18">
        <f>R39</f>
        <v>2700</v>
      </c>
      <c r="C41" s="22" t="s">
        <v>128</v>
      </c>
      <c r="D41" s="20"/>
      <c r="E41" s="21" t="s">
        <v>141</v>
      </c>
      <c r="F41" s="18">
        <f>R40</f>
        <v>1971.6384</v>
      </c>
      <c r="G41" s="22" t="s">
        <v>128</v>
      </c>
      <c r="H41" s="6"/>
      <c r="I41" s="172"/>
      <c r="J41" s="6"/>
      <c r="K41" s="6"/>
      <c r="L41" s="173"/>
      <c r="M41" s="20"/>
      <c r="N41" s="20"/>
      <c r="O41" s="20"/>
      <c r="P41" s="62"/>
      <c r="Q41" s="62"/>
      <c r="R41" s="36"/>
      <c r="S41" s="27"/>
      <c r="T41" s="27"/>
      <c r="U41" s="39"/>
      <c r="V41" s="39"/>
      <c r="W41" s="39"/>
      <c r="X41" s="39"/>
      <c r="Y41" s="39"/>
      <c r="Z41" s="39"/>
      <c r="AA41" s="39"/>
      <c r="AB41" s="39"/>
      <c r="AC41" s="39"/>
    </row>
    <row r="42" spans="1:29" ht="20.100000000000001" customHeight="1">
      <c r="A42" s="54" t="s">
        <v>140</v>
      </c>
      <c r="B42" s="18">
        <f>(B41/B37)^0.5</f>
        <v>6.9436507482941359</v>
      </c>
      <c r="C42" s="22" t="s">
        <v>70</v>
      </c>
      <c r="D42" s="20"/>
      <c r="E42" s="21" t="s">
        <v>142</v>
      </c>
      <c r="F42" s="18">
        <f>(F41/B37)^0.5</f>
        <v>5.9336185057204824</v>
      </c>
      <c r="G42" s="22" t="s">
        <v>70</v>
      </c>
      <c r="H42" s="6"/>
      <c r="I42" s="6"/>
      <c r="J42" s="6"/>
      <c r="K42" s="6"/>
      <c r="L42" s="167"/>
      <c r="M42" s="20"/>
      <c r="N42" s="20"/>
      <c r="O42" s="20"/>
      <c r="P42" s="62"/>
      <c r="Q42" s="62"/>
      <c r="R42" s="36"/>
      <c r="S42" s="27"/>
      <c r="T42" s="27"/>
      <c r="U42" s="39"/>
      <c r="V42" s="39"/>
      <c r="W42" s="39"/>
      <c r="X42" s="39"/>
      <c r="Y42" s="39"/>
      <c r="Z42" s="39"/>
      <c r="AA42" s="39"/>
      <c r="AB42" s="39"/>
      <c r="AC42" s="39"/>
    </row>
    <row r="43" spans="1:29" ht="20.100000000000001" customHeight="1">
      <c r="A43" s="54" t="s">
        <v>143</v>
      </c>
      <c r="B43" s="18">
        <f>(F27*C28)/B42</f>
        <v>23.044258222755555</v>
      </c>
      <c r="C43" s="20"/>
      <c r="D43" s="23" t="s">
        <v>192</v>
      </c>
      <c r="E43" s="6"/>
      <c r="F43" s="126">
        <f>MAX(B43,B44)</f>
        <v>36.135642380007305</v>
      </c>
      <c r="G43" s="20" t="str">
        <f>IF(J43&gt;F43,"&lt;","&gt;")</f>
        <v>&lt;</v>
      </c>
      <c r="H43" s="22" t="s">
        <v>193</v>
      </c>
      <c r="I43" s="20"/>
      <c r="J43" s="20">
        <f>6025/(F26)^0.5</f>
        <v>122.98479750223873</v>
      </c>
      <c r="K43" s="126" t="str">
        <f>IF(G43="&lt;","O.K","N.G.")</f>
        <v>O.K</v>
      </c>
      <c r="L43" s="57"/>
      <c r="M43" s="20"/>
      <c r="N43" s="20"/>
      <c r="O43" s="20"/>
      <c r="P43" s="62"/>
      <c r="Q43" s="62"/>
      <c r="R43" s="36"/>
      <c r="S43" s="27"/>
      <c r="T43" s="27"/>
      <c r="U43" s="39"/>
      <c r="V43" s="39"/>
      <c r="W43" s="39"/>
      <c r="X43" s="39"/>
      <c r="Y43" s="39"/>
      <c r="Z43" s="39"/>
      <c r="AA43" s="39"/>
      <c r="AB43" s="39"/>
      <c r="AC43" s="39"/>
    </row>
    <row r="44" spans="1:29" ht="20.100000000000001" customHeight="1">
      <c r="A44" s="54" t="s">
        <v>144</v>
      </c>
      <c r="B44" s="18">
        <f>(H27*C28)/F42</f>
        <v>36.135642380007305</v>
      </c>
      <c r="C44" s="20"/>
      <c r="D44" s="6"/>
      <c r="E44" s="20"/>
      <c r="F44" s="20"/>
      <c r="G44" s="20"/>
      <c r="H44" s="20"/>
      <c r="I44" s="20"/>
      <c r="J44" s="20"/>
      <c r="K44" s="20"/>
      <c r="L44" s="57"/>
      <c r="M44" s="23"/>
      <c r="N44" s="23"/>
      <c r="O44" s="23"/>
      <c r="P44" s="62"/>
      <c r="Q44" s="62"/>
      <c r="R44" s="36"/>
      <c r="S44" s="27"/>
      <c r="T44" s="27"/>
      <c r="U44" s="39"/>
      <c r="V44" s="39"/>
      <c r="W44" s="39"/>
      <c r="X44" s="39"/>
      <c r="Y44" s="39"/>
      <c r="Z44" s="39"/>
      <c r="AA44" s="39"/>
      <c r="AB44" s="39"/>
      <c r="AC44" s="39"/>
    </row>
    <row r="45" spans="1:29" ht="20.100000000000001" customHeight="1">
      <c r="A45" s="54" t="s">
        <v>145</v>
      </c>
      <c r="B45" s="22" t="s">
        <v>195</v>
      </c>
      <c r="C45" s="20"/>
      <c r="D45" s="20">
        <f>6440/(F26)^0.5</f>
        <v>131.45594952936389</v>
      </c>
      <c r="E45" s="174" t="s">
        <v>157</v>
      </c>
      <c r="F45" s="20"/>
      <c r="G45" s="20"/>
      <c r="H45" s="20"/>
      <c r="I45" s="23"/>
      <c r="J45" s="23"/>
      <c r="K45" s="23"/>
      <c r="L45" s="55"/>
      <c r="M45" s="6"/>
      <c r="N45" s="23"/>
      <c r="O45" s="223"/>
      <c r="P45" s="62"/>
      <c r="Q45" s="62"/>
      <c r="R45" s="36"/>
      <c r="S45" s="27"/>
      <c r="T45" s="27"/>
      <c r="U45" s="39"/>
      <c r="V45" s="39"/>
      <c r="W45" s="39"/>
      <c r="X45" s="39"/>
      <c r="Y45" s="39"/>
      <c r="Z45" s="39"/>
      <c r="AA45" s="39"/>
      <c r="AB45" s="39"/>
      <c r="AC45" s="39"/>
    </row>
    <row r="46" spans="1:29" ht="20.100000000000001" customHeight="1">
      <c r="A46" s="54"/>
      <c r="B46" s="175" t="str">
        <f>IF(D45&gt;F43," λmax &lt;Cc          → ","λmax &gt;Cc              →")</f>
        <v xml:space="preserve"> λmax &lt;Cc          → </v>
      </c>
      <c r="C46" s="20"/>
      <c r="D46" s="6"/>
      <c r="E46" s="20"/>
      <c r="F46" s="6"/>
      <c r="G46" s="6"/>
      <c r="H46" s="20"/>
      <c r="I46" s="23"/>
      <c r="J46" s="23"/>
      <c r="K46" s="23"/>
      <c r="L46" s="55"/>
      <c r="M46" s="23"/>
      <c r="N46" s="23"/>
      <c r="O46" s="23"/>
      <c r="P46" s="62"/>
      <c r="Q46" s="62"/>
      <c r="R46" s="36"/>
      <c r="S46" s="27"/>
      <c r="T46" s="27"/>
      <c r="U46" s="39"/>
      <c r="V46" s="39"/>
      <c r="W46" s="39"/>
      <c r="X46" s="39"/>
      <c r="Y46" s="39"/>
      <c r="Z46" s="39"/>
      <c r="AA46" s="39"/>
      <c r="AB46" s="39"/>
      <c r="AC46" s="39"/>
    </row>
    <row r="47" spans="1:29" ht="20.100000000000001" customHeight="1">
      <c r="A47" s="176" t="str">
        <f>IF(F43&lt;D45,"   F.S=1.67+0.375.(λ/Cc)-0.125(λ/Cc)^3="," ")</f>
        <v xml:space="preserve">   F.S=1.67+0.375.(λ/Cc)-0.125(λ/Cc)^3=</v>
      </c>
      <c r="B47" s="23"/>
      <c r="C47" s="20"/>
      <c r="D47" s="20"/>
      <c r="E47" s="5"/>
      <c r="F47" s="18">
        <f>IF(F43&lt;D45,1.67+0.375*(F43/D45)-0.125*(F43/D45)^3," ")</f>
        <v>1.7704865110613917</v>
      </c>
      <c r="G47" s="177" t="str">
        <f>IF(F43&lt;D45,"                 Fa=Fy/F.S[1-0.5.(λ/Cc)^2]=","                                Fa=105*10^5/λ^2=")</f>
        <v xml:space="preserve">                 Fa=Fy/F.S[1-0.5.(λ/Cc)^2]=</v>
      </c>
      <c r="H47" s="23"/>
      <c r="I47" s="20"/>
      <c r="J47" s="160"/>
      <c r="K47" s="178">
        <f>IF(F43&gt;D45,10500000/F43^2,(1-F43^2/D45^2/2)*2400/(1.67+0.375*F43/D45-0.125*(F43/D45)^3))</f>
        <v>1304.3443111686827</v>
      </c>
      <c r="L47" s="57" t="s">
        <v>150</v>
      </c>
      <c r="M47" s="20"/>
      <c r="N47" s="23"/>
      <c r="O47" s="23"/>
      <c r="P47" s="62"/>
      <c r="Q47" s="62"/>
      <c r="R47" s="36"/>
      <c r="S47" s="27"/>
      <c r="T47" s="27"/>
      <c r="U47" s="39"/>
      <c r="V47" s="39"/>
      <c r="W47" s="39"/>
      <c r="X47" s="39"/>
      <c r="Y47" s="39"/>
      <c r="Z47" s="39"/>
      <c r="AA47" s="39"/>
      <c r="AB47" s="39"/>
      <c r="AC47" s="39"/>
    </row>
    <row r="48" spans="1:29" ht="20.100000000000001" customHeight="1">
      <c r="A48" s="54" t="s">
        <v>148</v>
      </c>
      <c r="B48" s="23" t="s">
        <v>147</v>
      </c>
      <c r="C48" s="20"/>
      <c r="D48" s="126">
        <f>1/(1+(F43/(2*D45)))</f>
        <v>0.87916422182855403</v>
      </c>
      <c r="E48" s="6"/>
      <c r="F48" s="20"/>
      <c r="G48" s="21" t="s">
        <v>151</v>
      </c>
      <c r="H48" s="22" t="s">
        <v>152</v>
      </c>
      <c r="I48" s="126">
        <f>K47*D48</f>
        <v>1146.7328513251161</v>
      </c>
      <c r="J48" s="20" t="s">
        <v>150</v>
      </c>
      <c r="K48" s="6"/>
      <c r="L48" s="167"/>
      <c r="M48" s="23"/>
      <c r="N48" s="23"/>
      <c r="O48" s="23"/>
      <c r="P48" s="62"/>
      <c r="Q48" s="62"/>
      <c r="R48" s="36"/>
      <c r="S48" s="27"/>
      <c r="T48" s="27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 ht="20.100000000000001" customHeight="1">
      <c r="A49" s="165"/>
      <c r="B49" s="179" t="str">
        <f>IF(NOT(E21=2),"          fa=P/A=","     fa=1.5*P/A=")</f>
        <v xml:space="preserve">          fa=P/A=</v>
      </c>
      <c r="C49" s="126"/>
      <c r="D49" s="178">
        <f>IF(NOT(E21=2),K26*1000/B37,1.5*K26*1000/B37)</f>
        <v>946.42857142857144</v>
      </c>
      <c r="E49" s="180" t="s">
        <v>194</v>
      </c>
      <c r="F49" s="43" t="str">
        <f>IF(C50&lt;=1,"     &lt;1   O.K","N.G")</f>
        <v xml:space="preserve">     &lt;1   O.K</v>
      </c>
      <c r="G49" s="126"/>
      <c r="H49" s="181" t="str">
        <f>IF(D49&lt;I48,"&lt;Fas OK","&gt; Fas  NOT GOOD")</f>
        <v>&lt;Fas OK</v>
      </c>
      <c r="I49" s="5"/>
      <c r="J49" s="23"/>
      <c r="K49" s="23"/>
      <c r="L49" s="55"/>
      <c r="M49" s="23"/>
      <c r="N49" s="23"/>
      <c r="O49" s="23"/>
      <c r="P49" s="62"/>
      <c r="Q49" s="62"/>
      <c r="R49" s="36"/>
      <c r="S49" s="27"/>
      <c r="T49" s="27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 ht="20.100000000000001" customHeight="1">
      <c r="A50" s="133"/>
      <c r="B50" s="18" t="s">
        <v>313</v>
      </c>
      <c r="C50" s="18">
        <f>D49/I48</f>
        <v>0.82532611700704173</v>
      </c>
      <c r="H50" s="20"/>
      <c r="I50" s="23"/>
      <c r="J50" s="23"/>
      <c r="K50" s="23">
        <v>6</v>
      </c>
      <c r="L50" s="55"/>
      <c r="M50" s="23"/>
      <c r="N50" s="23"/>
      <c r="O50" s="23"/>
      <c r="P50" s="62"/>
      <c r="Q50" s="62"/>
      <c r="R50" s="36"/>
      <c r="S50" s="27"/>
      <c r="T50" s="27"/>
      <c r="U50" s="39"/>
      <c r="V50" s="39"/>
      <c r="W50" s="39"/>
      <c r="X50" s="39"/>
      <c r="Y50" s="39"/>
      <c r="Z50" s="39"/>
      <c r="AA50" s="39"/>
      <c r="AB50" s="39"/>
      <c r="AC50" s="39"/>
    </row>
    <row r="51" spans="1:29" ht="20.100000000000001" customHeight="1">
      <c r="A51" s="246"/>
      <c r="K51" s="23"/>
      <c r="L51" s="55"/>
      <c r="M51" s="23"/>
      <c r="N51" s="23"/>
      <c r="O51" s="23"/>
      <c r="P51" s="62"/>
      <c r="Q51" s="62"/>
      <c r="R51" s="36"/>
      <c r="S51" s="27"/>
      <c r="T51" s="27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 ht="20.100000000000001" customHeight="1">
      <c r="A52" s="182"/>
      <c r="B52" s="160"/>
      <c r="C52" s="172" t="s">
        <v>320</v>
      </c>
      <c r="D52" s="43">
        <f>B37*K47/1000</f>
        <v>73.043281425446224</v>
      </c>
      <c r="E52" s="23" t="s">
        <v>115</v>
      </c>
      <c r="F52" s="46" t="str">
        <f>IF(K26&lt;D52,"O.K","NOT GOOD")</f>
        <v>O.K</v>
      </c>
      <c r="H52" s="183"/>
      <c r="I52" s="184"/>
      <c r="J52" s="184"/>
      <c r="K52" s="23"/>
      <c r="L52" s="55"/>
      <c r="M52" s="23"/>
      <c r="N52" s="23"/>
      <c r="O52" s="23"/>
      <c r="P52" s="62"/>
      <c r="Q52" s="62"/>
      <c r="R52" s="36"/>
      <c r="S52" s="27"/>
      <c r="T52" s="27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 ht="20.100000000000001" customHeight="1">
      <c r="A53" s="171"/>
      <c r="B53" s="172"/>
      <c r="C53" s="186"/>
      <c r="D53" s="23"/>
      <c r="E53" s="160"/>
      <c r="F53" s="187"/>
      <c r="G53" s="20"/>
      <c r="H53" s="160"/>
      <c r="I53" s="23"/>
      <c r="J53" s="23"/>
      <c r="K53" s="23"/>
      <c r="L53" s="55"/>
      <c r="M53" s="23"/>
      <c r="N53" s="23"/>
      <c r="O53" s="23"/>
      <c r="P53" s="62"/>
      <c r="Q53" s="62"/>
      <c r="R53" s="36"/>
      <c r="S53" s="27"/>
      <c r="T53" s="27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 ht="15.75">
      <c r="A54" s="161"/>
      <c r="D54" s="285">
        <f>E32</f>
        <v>2</v>
      </c>
      <c r="E54" s="107" t="str">
        <f>F32</f>
        <v>UNP</v>
      </c>
      <c r="F54" s="108">
        <f>MAX(R20,R21)</f>
        <v>180</v>
      </c>
      <c r="G54" s="107" t="str">
        <f>IF(OR(F39=0,H39=0)," ","  + 2PL ")</f>
        <v xml:space="preserve"> </v>
      </c>
      <c r="H54" s="109" t="str">
        <f>IF(OR(F39=0,H39=0)," ",CONCATENATE(F39*10,"X",H39*10))</f>
        <v xml:space="preserve"> </v>
      </c>
      <c r="I54" s="23"/>
      <c r="J54" s="23"/>
      <c r="L54" s="55"/>
      <c r="M54" s="23"/>
      <c r="N54" s="23"/>
      <c r="O54" s="23"/>
      <c r="P54" s="62"/>
      <c r="Q54" s="62"/>
      <c r="R54" s="36"/>
      <c r="S54" s="27"/>
      <c r="T54" s="27"/>
      <c r="U54" s="39"/>
      <c r="V54" s="39"/>
      <c r="W54" s="39"/>
      <c r="X54" s="39"/>
      <c r="Y54" s="39"/>
      <c r="Z54" s="39"/>
      <c r="AA54" s="39"/>
      <c r="AB54" s="39"/>
      <c r="AC54" s="39"/>
    </row>
    <row r="55" spans="1:29" ht="19.5" thickBot="1">
      <c r="A55" s="200"/>
      <c r="B55" s="188"/>
      <c r="C55" s="188"/>
      <c r="D55" s="289"/>
      <c r="E55" s="188"/>
      <c r="F55" s="289"/>
      <c r="G55" s="188"/>
      <c r="H55" s="189"/>
      <c r="I55" s="287"/>
      <c r="J55" s="188"/>
      <c r="K55" s="188"/>
      <c r="L55" s="288"/>
      <c r="M55" s="23"/>
      <c r="N55" s="23"/>
      <c r="O55" s="23"/>
      <c r="P55" s="62"/>
      <c r="Q55" s="62"/>
      <c r="R55" s="36"/>
      <c r="S55" s="27"/>
      <c r="T55" s="27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 ht="19.5" thickTop="1">
      <c r="A56" s="160"/>
      <c r="B56" s="160"/>
      <c r="C56" s="185"/>
      <c r="D56" s="185"/>
      <c r="E56" s="185"/>
      <c r="F56" s="191"/>
      <c r="G56" s="185"/>
      <c r="H56" s="190"/>
      <c r="I56" s="190"/>
      <c r="J56" s="190"/>
      <c r="K56" s="190"/>
      <c r="L56" s="160"/>
      <c r="M56" s="23"/>
      <c r="N56" s="23"/>
      <c r="O56" s="23"/>
      <c r="P56" s="62"/>
      <c r="Q56" s="62"/>
      <c r="R56" s="36"/>
      <c r="S56" s="27"/>
      <c r="T56" s="27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 ht="18.75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90"/>
      <c r="L57" s="160"/>
      <c r="M57" s="23"/>
      <c r="N57" s="23"/>
      <c r="O57" s="23"/>
      <c r="P57" s="62"/>
      <c r="Q57" s="62"/>
      <c r="R57" s="36"/>
      <c r="S57" s="27"/>
      <c r="T57" s="27"/>
      <c r="U57" s="39"/>
      <c r="V57" s="39"/>
      <c r="W57" s="39"/>
      <c r="X57" s="39"/>
      <c r="Y57" s="39"/>
      <c r="Z57" s="39"/>
      <c r="AA57" s="39"/>
      <c r="AB57" s="39"/>
      <c r="AC57" s="39"/>
    </row>
    <row r="58" spans="1:29" ht="15.75">
      <c r="A58" s="6"/>
      <c r="B58" s="6"/>
      <c r="H58" s="18"/>
      <c r="I58" s="18"/>
      <c r="J58" s="18"/>
      <c r="K58" s="24"/>
      <c r="L58" s="23"/>
      <c r="M58" s="23"/>
      <c r="P58" s="206"/>
      <c r="Q58" s="62"/>
      <c r="R58" s="36"/>
      <c r="S58" s="27"/>
      <c r="T58" s="27"/>
      <c r="U58" s="39"/>
      <c r="V58" s="39"/>
      <c r="W58" s="39"/>
      <c r="X58" s="39"/>
      <c r="Y58" s="39"/>
      <c r="Z58" s="39"/>
      <c r="AA58" s="39"/>
      <c r="AB58" s="39"/>
      <c r="AC58" s="39"/>
    </row>
    <row r="59" spans="1:29" ht="18">
      <c r="A59" s="207"/>
      <c r="B59" s="207"/>
      <c r="C59" s="207"/>
      <c r="D59" s="207"/>
      <c r="E59" s="207"/>
      <c r="F59" s="464"/>
      <c r="G59" s="464"/>
      <c r="H59" s="207"/>
      <c r="I59" s="208"/>
      <c r="J59" s="208"/>
      <c r="K59" s="205"/>
      <c r="L59" s="6"/>
      <c r="M59" s="23"/>
      <c r="N59" s="23"/>
      <c r="O59" s="23"/>
      <c r="P59" s="23"/>
      <c r="Q59" s="62"/>
      <c r="R59" s="36"/>
      <c r="S59" s="27"/>
      <c r="T59" s="27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 ht="18">
      <c r="A60" s="202"/>
      <c r="B60" s="209"/>
      <c r="C60" s="6"/>
      <c r="D60" s="209"/>
      <c r="E60" s="185"/>
      <c r="F60" s="162"/>
      <c r="G60" s="162"/>
      <c r="H60" s="210"/>
      <c r="I60" s="205"/>
      <c r="J60" s="205"/>
      <c r="K60" s="205"/>
      <c r="L60" s="6"/>
      <c r="M60" s="23"/>
      <c r="N60" s="23"/>
      <c r="O60" s="23"/>
      <c r="P60" s="23"/>
      <c r="Q60" s="62"/>
      <c r="R60" s="36"/>
      <c r="S60" s="27"/>
      <c r="T60" s="27"/>
      <c r="U60" s="39"/>
      <c r="V60" s="39"/>
      <c r="W60" s="39"/>
      <c r="X60" s="39"/>
      <c r="Y60" s="39"/>
      <c r="Z60" s="39"/>
      <c r="AA60" s="39"/>
      <c r="AB60" s="39"/>
      <c r="AC60" s="39"/>
    </row>
    <row r="61" spans="1:29" ht="15.75">
      <c r="A61" s="202"/>
      <c r="B61" s="6"/>
      <c r="C61" s="6"/>
      <c r="D61" s="209"/>
      <c r="E61" s="23"/>
      <c r="F61" s="211"/>
      <c r="G61" s="212"/>
      <c r="H61" s="185"/>
      <c r="I61" s="185"/>
      <c r="J61" s="6"/>
      <c r="K61" s="185"/>
      <c r="L61" s="185"/>
      <c r="M61" s="23"/>
      <c r="N61" s="23"/>
      <c r="O61" s="23"/>
      <c r="P61" s="6"/>
      <c r="Q61" s="62"/>
      <c r="R61" s="36"/>
      <c r="S61" s="27"/>
      <c r="T61" s="27"/>
      <c r="U61" s="39"/>
      <c r="V61" s="39"/>
      <c r="W61" s="39"/>
      <c r="X61" s="39"/>
      <c r="Y61" s="39"/>
      <c r="Z61" s="39"/>
      <c r="AA61" s="39"/>
      <c r="AB61" s="39"/>
      <c r="AC61" s="39"/>
    </row>
    <row r="62" spans="1:29" ht="15.75">
      <c r="A62" s="202"/>
      <c r="B62" s="160"/>
      <c r="C62" s="160"/>
      <c r="D62" s="213"/>
      <c r="E62" s="213"/>
      <c r="F62" s="214"/>
      <c r="G62" s="213"/>
      <c r="H62" s="160"/>
      <c r="I62" s="185"/>
      <c r="J62" s="185"/>
      <c r="K62" s="185"/>
      <c r="L62" s="185"/>
      <c r="M62" s="213"/>
      <c r="N62" s="213"/>
      <c r="O62" s="213"/>
      <c r="P62" s="6"/>
      <c r="Q62" s="62"/>
      <c r="R62" s="36"/>
      <c r="S62" s="27"/>
      <c r="T62" s="27"/>
      <c r="U62" s="39"/>
      <c r="V62" s="39"/>
      <c r="W62" s="39"/>
      <c r="X62" s="39"/>
      <c r="Y62" s="39"/>
      <c r="Z62" s="39"/>
      <c r="AA62" s="39"/>
      <c r="AB62" s="39"/>
      <c r="AC62" s="39"/>
    </row>
    <row r="63" spans="1:29" ht="15.75">
      <c r="A63" s="215"/>
      <c r="B63" s="209"/>
      <c r="C63" s="216"/>
      <c r="D63" s="45"/>
      <c r="E63" s="217"/>
      <c r="F63" s="214"/>
      <c r="G63" s="213"/>
      <c r="H63" s="160"/>
      <c r="I63" s="185"/>
      <c r="J63" s="185"/>
      <c r="K63" s="185"/>
      <c r="L63" s="185"/>
      <c r="M63" s="21"/>
      <c r="N63" s="22"/>
      <c r="O63" s="23"/>
      <c r="P63" s="6"/>
      <c r="Q63" s="62"/>
      <c r="R63" s="36"/>
      <c r="S63" s="27"/>
      <c r="T63" s="27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 ht="15">
      <c r="A64" s="131"/>
      <c r="B64" s="9"/>
      <c r="C64" s="9"/>
      <c r="D64" s="9"/>
      <c r="E64" s="9"/>
      <c r="F64" s="9"/>
      <c r="G64" s="9"/>
      <c r="H64" s="9"/>
      <c r="I64" s="9"/>
      <c r="J64" s="9"/>
      <c r="K64" s="9"/>
      <c r="L64" s="5"/>
      <c r="M64" s="5"/>
      <c r="N64" s="5"/>
      <c r="O64" s="5"/>
      <c r="Q64" s="64"/>
      <c r="R64" s="27"/>
      <c r="S64" s="27"/>
      <c r="T64" s="27"/>
      <c r="U64" s="39"/>
      <c r="V64" s="39"/>
      <c r="W64" s="39"/>
      <c r="X64" s="39"/>
      <c r="Y64" s="39"/>
      <c r="Z64" s="39"/>
      <c r="AA64" s="39"/>
      <c r="AB64" s="39"/>
      <c r="AC64" s="39"/>
    </row>
    <row r="65" spans="1:29" ht="15">
      <c r="A65" s="131"/>
      <c r="B65" s="9"/>
      <c r="C65" s="9"/>
      <c r="D65" s="9"/>
      <c r="E65" s="9"/>
      <c r="F65" s="9"/>
      <c r="G65" s="9"/>
      <c r="H65" s="9"/>
      <c r="I65" s="9"/>
      <c r="J65" s="9"/>
      <c r="K65" s="9"/>
      <c r="L65" s="5"/>
      <c r="M65" s="5"/>
      <c r="N65" s="5"/>
      <c r="Q65" s="64"/>
      <c r="R65" s="27"/>
      <c r="S65" s="27"/>
      <c r="T65" s="27"/>
      <c r="U65" s="39"/>
      <c r="V65" s="39"/>
      <c r="W65" s="39"/>
      <c r="X65" s="39"/>
      <c r="Y65" s="39"/>
      <c r="Z65" s="39"/>
      <c r="AA65" s="39"/>
      <c r="AB65" s="39"/>
      <c r="AC65" s="39"/>
    </row>
    <row r="66" spans="1:29" ht="15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5"/>
      <c r="L66" s="5"/>
      <c r="M66" s="5"/>
      <c r="N66" s="5"/>
      <c r="Q66" s="64"/>
      <c r="R66" s="27"/>
      <c r="S66" s="27"/>
      <c r="T66" s="27"/>
      <c r="U66" s="39"/>
      <c r="V66" s="39"/>
      <c r="W66" s="39"/>
      <c r="X66" s="39"/>
      <c r="Y66" s="39"/>
      <c r="Z66" s="39"/>
      <c r="AA66" s="39"/>
      <c r="AB66" s="39"/>
      <c r="AC66" s="39"/>
    </row>
    <row r="67" spans="1:2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Q67" s="8"/>
      <c r="R67" s="4"/>
      <c r="S67" s="4"/>
      <c r="T67" s="4"/>
    </row>
    <row r="68" spans="1:2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Q68" s="8"/>
      <c r="R68" s="4"/>
      <c r="S68" s="4"/>
      <c r="T68" s="4"/>
    </row>
    <row r="69" spans="1:2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Q69" s="8"/>
      <c r="R69" s="4"/>
      <c r="S69" s="4"/>
      <c r="T69" s="4"/>
    </row>
    <row r="70" spans="1:2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Q70" s="8"/>
      <c r="R70" s="4"/>
      <c r="S70" s="4"/>
      <c r="T70" s="4"/>
    </row>
    <row r="71" spans="1:2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Q71" s="8"/>
      <c r="R71" s="4"/>
      <c r="S71" s="4"/>
      <c r="T71" s="4"/>
    </row>
    <row r="72" spans="1:2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Q72" s="8"/>
      <c r="R72" s="4"/>
      <c r="S72" s="4"/>
      <c r="T72" s="4"/>
    </row>
    <row r="73" spans="1:2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Q73" s="8"/>
      <c r="R73" s="4"/>
      <c r="S73" s="4"/>
      <c r="T73" s="4"/>
    </row>
    <row r="74" spans="1:29">
      <c r="Q74" s="8"/>
      <c r="R74" s="4"/>
      <c r="S74" s="4"/>
      <c r="T74" s="4"/>
    </row>
    <row r="75" spans="1:29">
      <c r="Q75" s="8"/>
      <c r="R75" s="4"/>
      <c r="S75" s="4"/>
      <c r="T75" s="4"/>
    </row>
    <row r="76" spans="1:29">
      <c r="Q76" s="8"/>
      <c r="R76" s="4"/>
      <c r="S76" s="4"/>
      <c r="T76" s="4"/>
    </row>
    <row r="77" spans="1:29">
      <c r="Q77" s="8"/>
      <c r="R77" s="4"/>
      <c r="S77" s="4"/>
      <c r="T77" s="4"/>
    </row>
    <row r="78" spans="1:29">
      <c r="Q78" s="8"/>
      <c r="R78" s="4"/>
      <c r="S78" s="4"/>
      <c r="T78" s="4"/>
    </row>
    <row r="79" spans="1:29" ht="15.75">
      <c r="A79" s="122"/>
      <c r="B79" s="123"/>
      <c r="C79" s="21"/>
      <c r="D79" s="42"/>
      <c r="E79" s="22"/>
      <c r="F79" s="20"/>
      <c r="G79" s="21"/>
      <c r="H79" s="42"/>
      <c r="I79" s="23"/>
      <c r="J79" s="21"/>
      <c r="K79" s="42"/>
      <c r="L79" s="22"/>
      <c r="M79" s="21"/>
      <c r="N79" s="42"/>
      <c r="O79" s="22"/>
      <c r="P79" s="23"/>
      <c r="Q79" s="8"/>
      <c r="R79" s="4"/>
      <c r="S79" s="4"/>
      <c r="T79" s="4"/>
    </row>
    <row r="80" spans="1:29" ht="15.75">
      <c r="A80" s="122"/>
      <c r="B80" s="123"/>
      <c r="C80" s="21"/>
      <c r="D80" s="42"/>
      <c r="E80" s="23"/>
      <c r="F80" s="20"/>
      <c r="G80" s="21"/>
      <c r="H80" s="42"/>
      <c r="I80" s="61"/>
      <c r="J80" s="21"/>
      <c r="K80" s="42"/>
      <c r="L80" s="61"/>
      <c r="M80" s="61"/>
      <c r="N80" s="23"/>
      <c r="O80" s="23"/>
      <c r="P80" s="23"/>
      <c r="Q80" s="8"/>
      <c r="R80" s="4"/>
      <c r="S80" s="4"/>
      <c r="T80" s="4"/>
    </row>
    <row r="81" spans="1:20" ht="15.75">
      <c r="A81" s="122"/>
      <c r="B81" s="123"/>
      <c r="C81" s="21"/>
      <c r="D81" s="43"/>
      <c r="E81" s="20"/>
      <c r="F81" s="61"/>
      <c r="G81" s="21"/>
      <c r="H81" s="42"/>
      <c r="I81" s="61"/>
      <c r="J81" s="23"/>
      <c r="K81" s="23"/>
      <c r="L81" s="23"/>
      <c r="M81" s="43"/>
      <c r="N81" s="23"/>
      <c r="O81" s="61"/>
      <c r="P81" s="23"/>
      <c r="Q81" s="8"/>
      <c r="R81" s="4"/>
      <c r="S81" s="4"/>
      <c r="T81" s="4"/>
    </row>
    <row r="82" spans="1:20" ht="19.5">
      <c r="A82" s="122"/>
      <c r="B82" s="123"/>
      <c r="C82" s="61"/>
      <c r="D82" s="61"/>
      <c r="E82" s="61"/>
      <c r="F82" s="61"/>
      <c r="G82" s="61"/>
      <c r="H82" s="61"/>
      <c r="I82" s="61"/>
      <c r="J82" s="49"/>
      <c r="K82" s="49"/>
      <c r="L82" s="50"/>
      <c r="M82" s="47"/>
      <c r="N82" s="23"/>
      <c r="O82" s="8"/>
      <c r="P82" s="8"/>
      <c r="Q82" s="4"/>
      <c r="R82" s="4"/>
      <c r="S82" s="4"/>
      <c r="T82" s="4"/>
    </row>
    <row r="83" spans="1:20" ht="15.75">
      <c r="A83" s="113"/>
      <c r="B83" s="114"/>
      <c r="C83" s="112"/>
      <c r="D83" s="114"/>
      <c r="E83" s="114"/>
      <c r="F83" s="111"/>
      <c r="G83" s="120"/>
      <c r="H83" s="111"/>
      <c r="I83" s="111"/>
      <c r="J83" s="5"/>
      <c r="K83" s="5"/>
      <c r="L83" s="5"/>
      <c r="M83" s="5"/>
      <c r="N83" s="5"/>
      <c r="O83" s="5"/>
      <c r="P83" s="5"/>
      <c r="Q83" s="4"/>
      <c r="R83" s="4"/>
      <c r="S83" s="4"/>
      <c r="T83" s="4"/>
    </row>
    <row r="84" spans="1:20" ht="15.75">
      <c r="A84" s="113"/>
      <c r="B84" s="114"/>
      <c r="C84" s="111"/>
      <c r="D84" s="114"/>
      <c r="E84" s="114"/>
      <c r="F84" s="111"/>
      <c r="G84" s="120"/>
      <c r="H84" s="121"/>
      <c r="I84" s="111"/>
      <c r="J84" s="5"/>
      <c r="K84" s="5"/>
      <c r="L84" s="5"/>
      <c r="M84" s="5"/>
      <c r="N84" s="5"/>
      <c r="O84" s="5"/>
      <c r="P84" s="5"/>
      <c r="Q84" s="4"/>
      <c r="R84" s="4"/>
      <c r="S84" s="4"/>
      <c r="T84" s="4"/>
    </row>
    <row r="85" spans="1:20" ht="15.75">
      <c r="A85" s="113"/>
      <c r="B85" s="114"/>
      <c r="C85" s="111"/>
      <c r="D85" s="114"/>
      <c r="E85" s="114"/>
      <c r="F85" s="111"/>
      <c r="G85" s="111"/>
      <c r="H85" s="111"/>
      <c r="I85" s="111"/>
      <c r="J85" s="5"/>
      <c r="K85" s="5"/>
      <c r="L85" s="5"/>
      <c r="M85" s="5"/>
      <c r="N85" s="5"/>
      <c r="O85" s="5"/>
      <c r="P85" s="5"/>
      <c r="Q85" s="4"/>
      <c r="R85" s="4"/>
      <c r="S85" s="4"/>
      <c r="T85" s="4"/>
    </row>
    <row r="86" spans="1:20" ht="15.75">
      <c r="A86" s="111"/>
      <c r="B86" s="111"/>
      <c r="C86" s="111"/>
      <c r="D86" s="111"/>
      <c r="E86" s="111"/>
      <c r="F86" s="111"/>
      <c r="G86" s="111"/>
      <c r="H86" s="111"/>
      <c r="I86" s="5"/>
      <c r="J86" s="5"/>
      <c r="K86" s="5"/>
      <c r="L86" s="5"/>
      <c r="M86" s="5"/>
      <c r="N86" s="5"/>
      <c r="O86" s="5"/>
      <c r="P86" s="5"/>
      <c r="Q86" s="4"/>
      <c r="R86" s="4"/>
      <c r="S86" s="4"/>
      <c r="T86" s="4"/>
    </row>
    <row r="87" spans="1:20" ht="19.5">
      <c r="A87" s="70"/>
      <c r="B87" s="71"/>
      <c r="C87" s="73"/>
      <c r="D87" s="79"/>
      <c r="F87" s="74"/>
      <c r="G87" s="74"/>
      <c r="H87" s="74"/>
      <c r="I87" s="69"/>
      <c r="Q87" s="4"/>
      <c r="R87" s="4"/>
      <c r="S87" s="4"/>
      <c r="T87" s="4"/>
    </row>
    <row r="88" spans="1:20" ht="19.5">
      <c r="A88" s="70"/>
      <c r="B88" s="70"/>
      <c r="C88" s="65"/>
      <c r="D88" s="66"/>
      <c r="E88" s="73"/>
      <c r="F88" s="78"/>
      <c r="G88" s="78"/>
      <c r="H88" s="78"/>
      <c r="I88" s="69"/>
      <c r="Q88" s="4"/>
      <c r="R88" s="4"/>
      <c r="S88" s="4"/>
      <c r="T88" s="4"/>
    </row>
    <row r="89" spans="1:20" ht="19.5">
      <c r="A89" s="70"/>
      <c r="B89" s="71"/>
      <c r="C89" s="67"/>
      <c r="D89" s="66"/>
      <c r="E89" s="73"/>
      <c r="F89" s="74"/>
      <c r="G89" s="78"/>
      <c r="H89" s="74"/>
      <c r="I89" s="69"/>
      <c r="Q89" s="4"/>
      <c r="R89" s="4"/>
      <c r="S89" s="4"/>
      <c r="T89" s="4"/>
    </row>
    <row r="90" spans="1:20" ht="19.5">
      <c r="A90" s="70"/>
      <c r="B90" s="71"/>
      <c r="C90" s="73"/>
      <c r="D90" s="77"/>
      <c r="G90" s="74"/>
      <c r="H90" s="74"/>
      <c r="I90" s="69"/>
      <c r="Q90" s="4"/>
      <c r="R90" s="4"/>
      <c r="S90" s="4"/>
      <c r="T90" s="4"/>
    </row>
    <row r="91" spans="1:20" ht="19.5">
      <c r="A91" s="70"/>
      <c r="B91" s="71"/>
      <c r="C91" s="73"/>
      <c r="D91" s="77"/>
      <c r="E91" s="79"/>
      <c r="G91" s="74"/>
      <c r="H91" s="74"/>
      <c r="I91" s="80"/>
      <c r="Q91" s="4"/>
      <c r="R91" s="4"/>
      <c r="S91" s="4"/>
      <c r="T91" s="4"/>
    </row>
    <row r="92" spans="1:20" ht="19.5">
      <c r="A92" s="81"/>
      <c r="B92" s="82"/>
      <c r="C92" s="83"/>
      <c r="D92" s="84"/>
      <c r="E92" s="83"/>
      <c r="F92" s="82"/>
      <c r="G92" s="74"/>
      <c r="H92" s="74"/>
      <c r="Q92" s="4"/>
      <c r="R92" s="4"/>
      <c r="S92" s="4"/>
      <c r="T92" s="4"/>
    </row>
    <row r="93" spans="1:20" ht="19.5">
      <c r="A93" s="10"/>
      <c r="B93" s="85"/>
      <c r="C93" s="85"/>
      <c r="D93" s="85"/>
      <c r="E93" s="73"/>
      <c r="F93" s="69"/>
      <c r="G93" s="74"/>
      <c r="H93" s="74"/>
      <c r="I93" s="86"/>
      <c r="Q93" s="4"/>
      <c r="R93" s="4"/>
      <c r="S93" s="4"/>
      <c r="T93" s="4"/>
    </row>
    <row r="94" spans="1:20" ht="19.5">
      <c r="B94" s="81"/>
      <c r="C94" s="81"/>
      <c r="D94" s="81"/>
      <c r="E94" s="81"/>
      <c r="F94" s="87"/>
      <c r="G94" s="88"/>
      <c r="H94" s="89"/>
      <c r="I94" s="74"/>
      <c r="Q94" s="4"/>
      <c r="R94" s="4"/>
      <c r="S94" s="4"/>
      <c r="T94" s="4"/>
    </row>
    <row r="95" spans="1:20" ht="19.5">
      <c r="D95" s="65"/>
      <c r="G95" s="88"/>
      <c r="H95" s="74"/>
      <c r="I95" s="89"/>
      <c r="Q95" s="4"/>
      <c r="R95" s="4"/>
      <c r="S95" s="4"/>
      <c r="T95" s="4"/>
    </row>
    <row r="96" spans="1:20" ht="18">
      <c r="H96" s="86"/>
      <c r="I96" s="86"/>
      <c r="Q96" s="4"/>
      <c r="R96" s="4"/>
      <c r="S96" s="4"/>
      <c r="T96" s="4"/>
    </row>
    <row r="97" spans="1:20" ht="19.5">
      <c r="B97" s="65"/>
      <c r="C97" s="73"/>
      <c r="D97" s="69"/>
      <c r="E97" s="66"/>
      <c r="F97" s="66"/>
      <c r="G97" s="90"/>
      <c r="H97" s="89"/>
      <c r="I97" s="89"/>
      <c r="Q97" s="4"/>
      <c r="R97" s="4"/>
      <c r="S97" s="4"/>
      <c r="T97" s="4"/>
    </row>
    <row r="98" spans="1:20" ht="15.75">
      <c r="A98" s="80"/>
      <c r="B98" s="65"/>
      <c r="C98" s="91"/>
      <c r="D98" s="92"/>
      <c r="E98" s="93"/>
      <c r="F98" s="4"/>
      <c r="G98" s="69"/>
      <c r="H98" s="80"/>
      <c r="Q98" s="4"/>
      <c r="R98" s="4"/>
      <c r="S98" s="4"/>
      <c r="T98" s="4"/>
    </row>
    <row r="99" spans="1:20" ht="15">
      <c r="A99" s="80"/>
      <c r="B99" s="80"/>
      <c r="C99" s="94"/>
      <c r="D99" s="94"/>
      <c r="E99" s="95"/>
      <c r="F99" s="94"/>
      <c r="G99" s="80"/>
      <c r="H99" s="80"/>
      <c r="I99" s="11"/>
      <c r="Q99" s="4"/>
      <c r="R99" s="4"/>
      <c r="S99" s="4"/>
      <c r="T99" s="4"/>
    </row>
    <row r="100" spans="1:20" ht="15.75">
      <c r="B100" s="96"/>
      <c r="C100" s="97"/>
      <c r="D100" s="98"/>
      <c r="E100" s="95"/>
      <c r="F100" s="94"/>
      <c r="G100" s="80"/>
      <c r="H100" s="80"/>
      <c r="I100" s="11"/>
      <c r="Q100" s="4"/>
      <c r="R100" s="4"/>
      <c r="S100" s="4"/>
      <c r="T100" s="4"/>
    </row>
    <row r="101" spans="1:20">
      <c r="Q101" s="4"/>
      <c r="R101" s="4"/>
      <c r="S101" s="4"/>
      <c r="T101" s="4"/>
    </row>
    <row r="102" spans="1:20">
      <c r="Q102" s="4"/>
      <c r="R102" s="4"/>
      <c r="S102" s="4"/>
      <c r="T102" s="4"/>
    </row>
    <row r="103" spans="1:20" ht="15.75">
      <c r="A103" s="69"/>
      <c r="B103" s="69"/>
      <c r="C103" s="69"/>
      <c r="D103" s="69"/>
      <c r="E103" s="69"/>
      <c r="F103" s="69"/>
      <c r="G103" s="69"/>
      <c r="H103" s="69"/>
      <c r="I103" s="69"/>
      <c r="Q103" s="4"/>
      <c r="R103" s="4"/>
      <c r="S103" s="4"/>
      <c r="T103" s="4"/>
    </row>
    <row r="104" spans="1:20" ht="19.5">
      <c r="A104" s="68"/>
      <c r="B104" s="69"/>
      <c r="C104" s="69"/>
      <c r="E104" s="74"/>
      <c r="F104" s="74"/>
      <c r="G104" s="74"/>
      <c r="H104" s="75"/>
      <c r="I104" s="80"/>
      <c r="Q104" s="4"/>
      <c r="R104" s="4"/>
      <c r="S104" s="4"/>
      <c r="T104" s="4"/>
    </row>
    <row r="105" spans="1:20" ht="15.75">
      <c r="A105" s="65"/>
      <c r="B105" s="67"/>
      <c r="C105" s="75"/>
      <c r="F105" s="65"/>
      <c r="G105" s="67"/>
      <c r="H105" s="75"/>
      <c r="I105" s="69"/>
      <c r="Q105" s="4"/>
      <c r="R105" s="4"/>
      <c r="S105" s="4"/>
      <c r="T105" s="4"/>
    </row>
    <row r="106" spans="1:20" ht="15.75">
      <c r="A106" s="65"/>
      <c r="B106" s="67"/>
      <c r="C106" s="75"/>
      <c r="D106" s="75"/>
      <c r="E106" s="69"/>
      <c r="F106" s="65"/>
      <c r="G106" s="67"/>
      <c r="H106" s="69"/>
      <c r="I106" s="69"/>
      <c r="Q106" s="4"/>
      <c r="R106" s="4"/>
      <c r="S106" s="4"/>
      <c r="T106" s="4"/>
    </row>
    <row r="107" spans="1:20" ht="15.75">
      <c r="A107" s="65"/>
      <c r="B107" s="67"/>
      <c r="C107" s="75"/>
      <c r="D107" s="75"/>
      <c r="E107" s="69"/>
      <c r="F107" s="65"/>
      <c r="G107" s="67"/>
      <c r="H107" s="69"/>
      <c r="I107" s="69"/>
      <c r="Q107" s="4"/>
      <c r="R107" s="4"/>
      <c r="S107" s="4"/>
      <c r="T107" s="4"/>
    </row>
    <row r="108" spans="1:20" ht="15.75">
      <c r="A108" s="65"/>
      <c r="B108" s="67"/>
      <c r="C108" s="75"/>
      <c r="D108" s="75"/>
      <c r="E108" s="69"/>
      <c r="F108" s="65"/>
      <c r="G108" s="67"/>
      <c r="H108" s="99"/>
      <c r="I108" s="69"/>
      <c r="Q108" s="4"/>
      <c r="R108" s="4"/>
      <c r="S108" s="4"/>
      <c r="T108" s="4"/>
    </row>
    <row r="109" spans="1:20" ht="15.75">
      <c r="A109" s="65"/>
      <c r="B109" s="67"/>
      <c r="C109" s="75"/>
      <c r="D109" s="67"/>
      <c r="E109" s="67"/>
      <c r="F109" s="69"/>
      <c r="G109" s="67"/>
      <c r="H109" s="69"/>
      <c r="I109" s="69"/>
      <c r="Q109" s="4"/>
      <c r="R109" s="4"/>
      <c r="S109" s="4"/>
      <c r="T109" s="4"/>
    </row>
    <row r="110" spans="1:20" ht="15.75">
      <c r="A110" s="65"/>
      <c r="B110" s="67"/>
      <c r="C110" s="75"/>
      <c r="D110" s="67"/>
      <c r="E110" s="67"/>
      <c r="F110" s="69"/>
      <c r="G110" s="100"/>
      <c r="H110" s="69"/>
      <c r="I110" s="69"/>
      <c r="Q110" s="4"/>
      <c r="R110" s="4"/>
      <c r="S110" s="4"/>
      <c r="T110" s="4"/>
    </row>
    <row r="111" spans="1:20" ht="15.75">
      <c r="A111" s="65"/>
      <c r="B111" s="67"/>
      <c r="C111" s="69"/>
      <c r="D111" s="67"/>
      <c r="E111" s="67"/>
      <c r="F111" s="69"/>
      <c r="G111" s="100"/>
      <c r="H111" s="101"/>
      <c r="I111" s="69"/>
      <c r="Q111" s="4"/>
      <c r="R111" s="4"/>
      <c r="S111" s="4"/>
      <c r="T111" s="4"/>
    </row>
    <row r="112" spans="1:20" ht="15.75">
      <c r="A112" s="65"/>
      <c r="B112" s="67"/>
      <c r="C112" s="69"/>
      <c r="D112" s="67"/>
      <c r="E112" s="67"/>
      <c r="F112" s="69"/>
      <c r="G112" s="69"/>
      <c r="H112" s="69"/>
      <c r="I112" s="69"/>
      <c r="Q112" s="4"/>
      <c r="R112" s="4"/>
      <c r="S112" s="4"/>
      <c r="T112" s="4"/>
    </row>
    <row r="113" spans="1:20" ht="15.75">
      <c r="A113" s="69"/>
      <c r="B113" s="69"/>
      <c r="C113" s="69"/>
      <c r="D113" s="69"/>
      <c r="E113" s="69"/>
      <c r="F113" s="69"/>
      <c r="G113" s="69"/>
      <c r="H113" s="69"/>
      <c r="Q113" s="4"/>
      <c r="R113" s="4"/>
      <c r="S113" s="4"/>
      <c r="T113" s="4"/>
    </row>
    <row r="114" spans="1:20" ht="15.75">
      <c r="D114" s="69"/>
      <c r="E114" s="69"/>
      <c r="F114" s="69"/>
      <c r="G114" s="69"/>
      <c r="H114" s="69"/>
      <c r="I114" s="69"/>
      <c r="Q114" s="4"/>
      <c r="R114" s="4"/>
      <c r="S114" s="4"/>
      <c r="T114" s="4"/>
    </row>
    <row r="115" spans="1:20" ht="15.75">
      <c r="A115" s="68"/>
      <c r="B115" s="69"/>
      <c r="E115" s="69"/>
      <c r="F115" s="69"/>
      <c r="G115" s="69"/>
      <c r="H115" s="69"/>
      <c r="I115" s="69"/>
      <c r="Q115" s="4"/>
      <c r="R115" s="4"/>
      <c r="S115" s="4"/>
      <c r="T115" s="4"/>
    </row>
    <row r="116" spans="1:20" ht="15.75">
      <c r="B116" s="65"/>
      <c r="C116" s="72"/>
      <c r="D116" s="69"/>
      <c r="E116" s="69"/>
      <c r="F116" s="69"/>
      <c r="G116" s="69"/>
      <c r="H116" s="69"/>
      <c r="I116" s="69"/>
      <c r="Q116" s="4"/>
      <c r="R116" s="4"/>
      <c r="S116" s="4"/>
      <c r="T116" s="4"/>
    </row>
    <row r="117" spans="1:20" ht="18.75">
      <c r="A117" s="102"/>
      <c r="B117" s="71"/>
      <c r="C117" s="73"/>
      <c r="F117" s="86"/>
      <c r="G117" s="86"/>
      <c r="I117" s="69"/>
      <c r="Q117" s="4"/>
      <c r="R117" s="4"/>
      <c r="S117" s="4"/>
      <c r="T117" s="4"/>
    </row>
    <row r="118" spans="1:20" ht="19.5">
      <c r="A118" s="102"/>
      <c r="B118" s="71"/>
      <c r="C118" s="73"/>
      <c r="D118" s="75"/>
      <c r="F118" s="86"/>
      <c r="G118" s="74"/>
      <c r="I118" s="69"/>
      <c r="Q118" s="4"/>
      <c r="R118" s="4"/>
      <c r="S118" s="4"/>
      <c r="T118" s="4"/>
    </row>
    <row r="119" spans="1:20" ht="19.5">
      <c r="A119" s="102"/>
      <c r="B119" s="71"/>
      <c r="C119" s="73"/>
      <c r="D119" s="75"/>
      <c r="E119" s="76"/>
      <c r="F119" s="86"/>
      <c r="G119" s="74"/>
      <c r="I119" s="69"/>
      <c r="Q119" s="4"/>
      <c r="R119" s="4"/>
      <c r="S119" s="4"/>
      <c r="T119" s="4"/>
    </row>
    <row r="120" spans="1:20" ht="18.75">
      <c r="A120" s="102"/>
      <c r="B120" s="71"/>
      <c r="C120" s="73"/>
      <c r="D120" s="75"/>
      <c r="F120" s="86"/>
      <c r="G120" s="86"/>
      <c r="I120" s="69"/>
      <c r="Q120" s="4"/>
      <c r="R120" s="4"/>
      <c r="S120" s="4"/>
      <c r="T120" s="4"/>
    </row>
    <row r="121" spans="1:20" ht="18.75">
      <c r="A121" s="102"/>
      <c r="B121" s="71"/>
      <c r="C121" s="73"/>
      <c r="D121" s="75"/>
      <c r="F121" s="86"/>
      <c r="G121" s="86"/>
      <c r="I121" s="69"/>
      <c r="Q121" s="4"/>
      <c r="R121" s="4"/>
      <c r="S121" s="4"/>
      <c r="T121" s="4"/>
    </row>
    <row r="122" spans="1:20" ht="19.5">
      <c r="A122" s="102"/>
      <c r="B122" s="71"/>
      <c r="C122" s="73"/>
      <c r="D122" s="77"/>
      <c r="F122" s="78"/>
      <c r="G122" s="86"/>
      <c r="I122" s="69"/>
      <c r="Q122" s="4"/>
      <c r="R122" s="4"/>
      <c r="S122" s="4"/>
      <c r="T122" s="4"/>
    </row>
    <row r="123" spans="1:20" ht="18.75">
      <c r="A123" s="102"/>
      <c r="B123" s="71"/>
      <c r="C123" s="73"/>
      <c r="D123" s="79"/>
      <c r="F123" s="86"/>
      <c r="G123" s="86"/>
      <c r="I123" s="69"/>
      <c r="Q123" s="4"/>
      <c r="R123" s="4"/>
      <c r="S123" s="4"/>
      <c r="T123" s="4"/>
    </row>
    <row r="124" spans="1:20" ht="19.5">
      <c r="A124" s="102"/>
      <c r="B124" s="102"/>
      <c r="C124" s="65"/>
      <c r="D124" s="66"/>
      <c r="E124" s="73"/>
      <c r="F124" s="78"/>
      <c r="G124" s="78"/>
      <c r="H124" s="66"/>
      <c r="I124" s="69"/>
      <c r="Q124" s="4"/>
      <c r="R124" s="4"/>
      <c r="S124" s="4"/>
      <c r="T124" s="4"/>
    </row>
    <row r="125" spans="1:20" ht="19.5">
      <c r="B125" s="65"/>
      <c r="C125" s="67"/>
      <c r="D125" s="66"/>
      <c r="E125" s="73"/>
      <c r="F125" s="74"/>
      <c r="G125" s="78"/>
      <c r="H125" s="69"/>
      <c r="I125" s="69"/>
      <c r="Q125" s="4"/>
      <c r="R125" s="4"/>
      <c r="S125" s="4"/>
      <c r="T125" s="4"/>
    </row>
    <row r="126" spans="1:20" ht="18.75">
      <c r="B126" s="65"/>
      <c r="C126" s="73"/>
      <c r="D126" s="77"/>
      <c r="F126" s="86"/>
      <c r="G126" s="86"/>
      <c r="I126" s="69"/>
      <c r="Q126" s="4"/>
      <c r="R126" s="4"/>
      <c r="S126" s="4"/>
      <c r="T126" s="4"/>
    </row>
    <row r="127" spans="1:20" ht="19.5">
      <c r="B127" s="65"/>
      <c r="C127" s="73"/>
      <c r="D127" s="77"/>
      <c r="E127" s="79"/>
      <c r="H127" s="86"/>
      <c r="I127" s="74"/>
      <c r="Q127" s="4"/>
      <c r="R127" s="4"/>
      <c r="S127" s="4"/>
      <c r="T127" s="4"/>
    </row>
    <row r="128" spans="1:20" ht="19.5">
      <c r="A128" s="81"/>
      <c r="B128" s="81"/>
      <c r="C128" s="103"/>
      <c r="D128" s="81"/>
      <c r="E128" s="81"/>
      <c r="F128" s="87"/>
      <c r="G128" s="88"/>
      <c r="H128" s="74"/>
      <c r="I128" s="74"/>
      <c r="Q128" s="4"/>
      <c r="R128" s="4"/>
      <c r="S128" s="4"/>
      <c r="T128" s="4"/>
    </row>
    <row r="129" spans="1:9" ht="19.5">
      <c r="D129" s="65"/>
      <c r="G129" s="88"/>
      <c r="H129" s="74"/>
      <c r="I129" s="74"/>
    </row>
    <row r="130" spans="1:9" ht="18">
      <c r="H130" s="86"/>
      <c r="I130" s="86"/>
    </row>
    <row r="131" spans="1:9" ht="15.75">
      <c r="B131" s="65"/>
      <c r="C131" s="73"/>
      <c r="D131" s="69"/>
      <c r="E131" s="66"/>
      <c r="F131" s="66"/>
      <c r="G131" s="90"/>
      <c r="H131" s="90"/>
      <c r="I131" s="88"/>
    </row>
    <row r="132" spans="1:9" ht="15.75">
      <c r="B132" s="65"/>
      <c r="C132" s="73"/>
      <c r="D132" s="69"/>
      <c r="E132" s="79"/>
      <c r="G132" s="69"/>
      <c r="H132" s="80"/>
    </row>
    <row r="133" spans="1:9" ht="15">
      <c r="A133" s="80"/>
      <c r="B133" s="80"/>
      <c r="C133" s="94"/>
      <c r="D133" s="94"/>
      <c r="E133" s="95"/>
      <c r="F133" s="94"/>
      <c r="G133" s="80"/>
      <c r="H133" s="80"/>
      <c r="I133" s="11"/>
    </row>
    <row r="134" spans="1:9" ht="15.75">
      <c r="A134" s="80"/>
      <c r="B134" s="96"/>
      <c r="C134" s="97"/>
      <c r="D134" s="98"/>
      <c r="E134" s="95"/>
      <c r="F134" s="94"/>
      <c r="G134" s="80"/>
      <c r="H134" s="80"/>
      <c r="I134" s="11"/>
    </row>
  </sheetData>
  <phoneticPr fontId="2" type="noConversion"/>
  <pageMargins left="0.75" right="0.75" top="0.81" bottom="0.72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08"/>
  <sheetViews>
    <sheetView topLeftCell="A16" workbookViewId="0">
      <selection activeCell="G31" sqref="G31"/>
    </sheetView>
  </sheetViews>
  <sheetFormatPr defaultRowHeight="12.75"/>
  <cols>
    <col min="1" max="1" width="8.7109375" customWidth="1"/>
    <col min="2" max="2" width="7.28515625" customWidth="1"/>
    <col min="3" max="10" width="6.7109375" customWidth="1"/>
    <col min="11" max="12" width="7.7109375" customWidth="1"/>
    <col min="13" max="13" width="6.7109375" customWidth="1"/>
    <col min="14" max="14" width="7.7109375" customWidth="1"/>
  </cols>
  <sheetData>
    <row r="1" spans="1:19" ht="35.25">
      <c r="A1" s="218"/>
      <c r="B1" s="141"/>
      <c r="C1" s="141" t="s">
        <v>19</v>
      </c>
      <c r="D1" s="141"/>
      <c r="E1" s="141"/>
      <c r="F1" s="141" t="s">
        <v>20</v>
      </c>
      <c r="G1" s="141"/>
      <c r="H1" s="141" t="s">
        <v>21</v>
      </c>
      <c r="I1" s="142"/>
      <c r="J1" s="3"/>
      <c r="K1" s="3"/>
      <c r="L1" s="26"/>
      <c r="M1" s="26"/>
      <c r="N1" s="26"/>
      <c r="O1" s="3"/>
      <c r="P1" s="3"/>
      <c r="Q1" s="3"/>
      <c r="R1" s="3"/>
      <c r="S1" s="3"/>
    </row>
    <row r="2" spans="1:19" ht="15.95" customHeight="1">
      <c r="A2" s="127" t="s">
        <v>177</v>
      </c>
      <c r="B2" s="267" t="s">
        <v>22</v>
      </c>
      <c r="C2" s="269" t="s">
        <v>13</v>
      </c>
      <c r="D2" s="269" t="s">
        <v>75</v>
      </c>
      <c r="E2" s="269" t="s">
        <v>74</v>
      </c>
      <c r="F2" s="269" t="s">
        <v>18</v>
      </c>
      <c r="G2" s="269" t="s">
        <v>76</v>
      </c>
      <c r="H2" s="269" t="s">
        <v>77</v>
      </c>
      <c r="I2" s="269" t="s">
        <v>78</v>
      </c>
      <c r="J2" s="16"/>
      <c r="K2" s="16"/>
      <c r="L2" s="206"/>
      <c r="M2" s="206"/>
      <c r="N2" s="206"/>
      <c r="O2" s="3"/>
      <c r="P2" s="3"/>
      <c r="Q2" s="3"/>
      <c r="R2" s="3"/>
      <c r="S2" s="3"/>
    </row>
    <row r="3" spans="1:19" ht="15.95" customHeight="1">
      <c r="A3" s="30">
        <v>1</v>
      </c>
      <c r="B3" s="264" t="s">
        <v>79</v>
      </c>
      <c r="C3" s="265">
        <v>14</v>
      </c>
      <c r="D3" s="265">
        <v>21</v>
      </c>
      <c r="E3" s="265">
        <v>0.47</v>
      </c>
      <c r="F3" s="265">
        <v>12.9</v>
      </c>
      <c r="G3" s="265">
        <v>1270</v>
      </c>
      <c r="H3" s="265">
        <v>121</v>
      </c>
      <c r="I3" s="265">
        <v>75.8</v>
      </c>
      <c r="J3" s="16"/>
      <c r="K3" s="16"/>
      <c r="L3" s="206"/>
      <c r="M3" s="206"/>
      <c r="N3" s="206"/>
      <c r="O3" s="3"/>
      <c r="P3" s="3"/>
      <c r="Q3" s="3"/>
      <c r="R3" s="3"/>
      <c r="S3" s="3"/>
    </row>
    <row r="4" spans="1:19" ht="15.95" customHeight="1">
      <c r="A4" s="30">
        <v>2</v>
      </c>
      <c r="B4" s="262" t="s">
        <v>80</v>
      </c>
      <c r="C4" s="263">
        <v>16</v>
      </c>
      <c r="D4" s="263">
        <v>24</v>
      </c>
      <c r="E4" s="263">
        <v>0.5</v>
      </c>
      <c r="F4" s="263">
        <v>15.8</v>
      </c>
      <c r="G4" s="263">
        <v>2030</v>
      </c>
      <c r="H4" s="263">
        <v>169</v>
      </c>
      <c r="I4" s="263">
        <v>106</v>
      </c>
      <c r="J4" s="16"/>
      <c r="K4" s="16"/>
      <c r="L4" s="206"/>
      <c r="M4" s="206"/>
      <c r="N4" s="206"/>
      <c r="O4" s="3"/>
      <c r="P4" s="3"/>
      <c r="Q4" s="3"/>
      <c r="R4" s="3"/>
      <c r="S4" s="3"/>
    </row>
    <row r="5" spans="1:19" ht="15.95" customHeight="1">
      <c r="A5" s="30">
        <v>3</v>
      </c>
      <c r="B5" s="264" t="s">
        <v>81</v>
      </c>
      <c r="C5" s="265">
        <v>18</v>
      </c>
      <c r="D5" s="265">
        <v>27</v>
      </c>
      <c r="E5" s="265">
        <v>0.53</v>
      </c>
      <c r="F5" s="265">
        <v>18.8</v>
      </c>
      <c r="G5" s="265">
        <v>3070</v>
      </c>
      <c r="H5" s="265">
        <v>228</v>
      </c>
      <c r="I5" s="265">
        <v>143</v>
      </c>
      <c r="J5" s="16"/>
      <c r="K5" s="16"/>
      <c r="L5" s="206"/>
      <c r="M5" s="206"/>
      <c r="N5" s="206"/>
      <c r="O5" s="3"/>
      <c r="P5" s="3"/>
      <c r="Q5" s="3"/>
      <c r="R5" s="3"/>
      <c r="S5" s="3"/>
    </row>
    <row r="6" spans="1:19" ht="15.95" customHeight="1">
      <c r="A6" s="30">
        <v>4</v>
      </c>
      <c r="B6" s="262" t="s">
        <v>82</v>
      </c>
      <c r="C6" s="263">
        <v>20</v>
      </c>
      <c r="D6" s="263">
        <v>30</v>
      </c>
      <c r="E6" s="263">
        <v>0.56000000000000005</v>
      </c>
      <c r="F6" s="263">
        <v>22.4</v>
      </c>
      <c r="G6" s="263">
        <v>4540</v>
      </c>
      <c r="H6" s="263">
        <v>302</v>
      </c>
      <c r="I6" s="263">
        <v>189</v>
      </c>
      <c r="J6" s="16"/>
      <c r="K6" s="16"/>
      <c r="L6" s="206"/>
      <c r="M6" s="206"/>
      <c r="N6" s="206"/>
      <c r="O6" s="3"/>
      <c r="P6" s="3"/>
      <c r="Q6" s="3"/>
      <c r="R6" s="3"/>
      <c r="S6" s="3"/>
    </row>
    <row r="7" spans="1:19" ht="15.95" customHeight="1">
      <c r="A7" s="30">
        <v>5</v>
      </c>
      <c r="B7" s="264" t="s">
        <v>83</v>
      </c>
      <c r="C7" s="265">
        <v>22</v>
      </c>
      <c r="D7" s="265">
        <v>33</v>
      </c>
      <c r="E7" s="265">
        <v>0.59</v>
      </c>
      <c r="F7" s="265">
        <v>26.2</v>
      </c>
      <c r="G7" s="265">
        <v>6460</v>
      </c>
      <c r="H7" s="265">
        <v>392</v>
      </c>
      <c r="I7" s="265">
        <v>243</v>
      </c>
      <c r="J7" s="16"/>
      <c r="K7" s="16"/>
      <c r="L7" s="206"/>
      <c r="M7" s="206"/>
      <c r="N7" s="206"/>
      <c r="O7" s="3"/>
      <c r="P7" s="3"/>
      <c r="Q7" s="3"/>
      <c r="R7" s="3"/>
      <c r="S7" s="3"/>
    </row>
    <row r="8" spans="1:19" ht="15.95" customHeight="1">
      <c r="A8" s="30">
        <v>6</v>
      </c>
      <c r="B8" s="262" t="s">
        <v>84</v>
      </c>
      <c r="C8" s="263">
        <v>24</v>
      </c>
      <c r="D8" s="263">
        <v>36</v>
      </c>
      <c r="E8" s="263">
        <v>0.62</v>
      </c>
      <c r="F8" s="263">
        <v>30.7</v>
      </c>
      <c r="G8" s="263">
        <v>9070</v>
      </c>
      <c r="H8" s="263">
        <v>504</v>
      </c>
      <c r="I8" s="263">
        <v>312</v>
      </c>
      <c r="J8" s="16"/>
      <c r="K8" s="16"/>
      <c r="L8" s="206"/>
      <c r="M8" s="206"/>
      <c r="N8" s="206"/>
      <c r="O8" s="3"/>
      <c r="P8" s="3"/>
      <c r="Q8" s="3"/>
      <c r="R8" s="3"/>
      <c r="S8" s="3"/>
    </row>
    <row r="9" spans="1:19" ht="15.95" customHeight="1">
      <c r="A9" s="30">
        <v>7</v>
      </c>
      <c r="B9" s="264" t="s">
        <v>85</v>
      </c>
      <c r="C9" s="265">
        <v>27</v>
      </c>
      <c r="D9" s="265">
        <v>40.5</v>
      </c>
      <c r="E9" s="265">
        <v>0.66</v>
      </c>
      <c r="F9" s="265">
        <v>36.1</v>
      </c>
      <c r="G9" s="265">
        <v>13470</v>
      </c>
      <c r="H9" s="265">
        <v>665</v>
      </c>
      <c r="I9" s="265">
        <v>412</v>
      </c>
      <c r="J9" s="16"/>
      <c r="K9" s="16"/>
      <c r="L9" s="206"/>
      <c r="M9" s="206"/>
      <c r="N9" s="206"/>
      <c r="O9" s="3"/>
      <c r="P9" s="3"/>
      <c r="Q9" s="3"/>
      <c r="R9" s="3"/>
      <c r="S9" s="3"/>
    </row>
    <row r="10" spans="1:19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206"/>
      <c r="M10" s="206"/>
      <c r="N10" s="206"/>
      <c r="O10" s="3"/>
      <c r="P10" s="3"/>
      <c r="Q10" s="3"/>
      <c r="R10" s="3"/>
      <c r="S10" s="3"/>
    </row>
    <row r="11" spans="1:19" ht="18.75" thickBot="1">
      <c r="A11" s="16"/>
      <c r="B11" s="116" t="s">
        <v>200</v>
      </c>
      <c r="C11" s="18"/>
      <c r="D11" s="25"/>
      <c r="E11" s="271">
        <v>2</v>
      </c>
      <c r="F11" s="128" t="s">
        <v>177</v>
      </c>
      <c r="G11" s="280">
        <v>3</v>
      </c>
      <c r="H11" s="203"/>
      <c r="I11" s="219"/>
      <c r="J11" s="219" t="s">
        <v>178</v>
      </c>
      <c r="K11" s="115"/>
      <c r="L11" s="206"/>
      <c r="M11" s="281"/>
      <c r="N11" s="281">
        <f>G24/2+G41/2</f>
        <v>13.5</v>
      </c>
      <c r="O11" s="3"/>
      <c r="P11" s="3"/>
      <c r="Q11" s="3"/>
      <c r="R11" s="3"/>
      <c r="S11" s="3"/>
    </row>
    <row r="12" spans="1:19" ht="16.5" thickTop="1">
      <c r="A12" s="305"/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7"/>
      <c r="M12" s="281"/>
      <c r="N12" s="281">
        <f>G24/2+G27+G28/2</f>
        <v>14.7</v>
      </c>
      <c r="O12" s="3"/>
      <c r="P12" s="3"/>
      <c r="Q12" s="3"/>
      <c r="R12" s="3"/>
      <c r="S12" s="3"/>
    </row>
    <row r="13" spans="1:19" ht="15.75">
      <c r="A13" s="251" t="s">
        <v>40</v>
      </c>
      <c r="B13" s="143"/>
      <c r="C13" s="143"/>
      <c r="D13" s="2"/>
      <c r="E13" s="143" t="s">
        <v>372</v>
      </c>
      <c r="G13" s="116"/>
      <c r="H13" s="206"/>
      <c r="I13" s="206"/>
      <c r="J13" s="206"/>
      <c r="K13" s="206"/>
      <c r="L13" s="308"/>
      <c r="M13" s="281" t="s">
        <v>58</v>
      </c>
      <c r="N13" s="281">
        <f>G24/2+G27+G28</f>
        <v>14.7</v>
      </c>
      <c r="O13" s="3"/>
      <c r="P13" s="3"/>
      <c r="Q13" s="3"/>
      <c r="R13" s="3"/>
      <c r="S13" s="3"/>
    </row>
    <row r="14" spans="1:19" ht="15.75">
      <c r="A14" s="309"/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308"/>
      <c r="M14" s="281"/>
      <c r="N14" s="281"/>
      <c r="O14" s="3"/>
      <c r="P14" s="3"/>
      <c r="Q14" s="3"/>
      <c r="R14" s="3"/>
      <c r="S14" s="3"/>
    </row>
    <row r="15" spans="1:19" ht="15.75">
      <c r="A15" s="133" t="s">
        <v>28</v>
      </c>
      <c r="B15" s="272">
        <v>2400</v>
      </c>
      <c r="C15" s="138" t="s">
        <v>26</v>
      </c>
      <c r="D15" s="137" t="s">
        <v>29</v>
      </c>
      <c r="E15" s="272">
        <v>10.5</v>
      </c>
      <c r="F15" s="138" t="s">
        <v>30</v>
      </c>
      <c r="G15" s="137" t="s">
        <v>36</v>
      </c>
      <c r="H15" s="272">
        <v>2.25</v>
      </c>
      <c r="I15" s="138" t="s">
        <v>38</v>
      </c>
      <c r="J15" s="6"/>
      <c r="K15" s="6"/>
      <c r="L15" s="167"/>
      <c r="M15" s="281"/>
      <c r="N15" s="281"/>
      <c r="O15" s="266"/>
      <c r="P15" s="266"/>
      <c r="Q15" s="266"/>
      <c r="R15" s="266"/>
      <c r="S15" s="3"/>
    </row>
    <row r="16" spans="1:19" ht="15.75">
      <c r="A16" s="133" t="s">
        <v>33</v>
      </c>
      <c r="B16" s="272">
        <v>2100000</v>
      </c>
      <c r="C16" s="138" t="s">
        <v>26</v>
      </c>
      <c r="D16" s="137" t="s">
        <v>31</v>
      </c>
      <c r="E16" s="272">
        <v>8.74</v>
      </c>
      <c r="F16" s="138" t="s">
        <v>27</v>
      </c>
      <c r="G16" s="137" t="s">
        <v>37</v>
      </c>
      <c r="H16" s="272">
        <v>0.54</v>
      </c>
      <c r="I16" s="138" t="s">
        <v>38</v>
      </c>
      <c r="J16" s="6"/>
      <c r="K16" s="6"/>
      <c r="L16" s="167"/>
      <c r="M16" s="282" t="s">
        <v>175</v>
      </c>
      <c r="N16" s="281">
        <f>B31/G24*2</f>
        <v>454.81481481481484</v>
      </c>
      <c r="O16" s="266"/>
      <c r="P16" s="266"/>
      <c r="Q16" s="266"/>
      <c r="R16" s="266"/>
      <c r="S16" s="3"/>
    </row>
    <row r="17" spans="1:19" ht="15">
      <c r="A17" s="249" t="s">
        <v>25</v>
      </c>
      <c r="B17" s="275">
        <v>582</v>
      </c>
      <c r="C17" s="138" t="s">
        <v>70</v>
      </c>
      <c r="D17" s="149" t="s">
        <v>41</v>
      </c>
      <c r="E17" s="226">
        <f>H17*B15</f>
        <v>1440</v>
      </c>
      <c r="F17" s="147" t="s">
        <v>26</v>
      </c>
      <c r="G17" s="137" t="s">
        <v>32</v>
      </c>
      <c r="H17" s="272">
        <v>0.6</v>
      </c>
      <c r="I17" s="145"/>
      <c r="J17" s="6"/>
      <c r="K17" s="6"/>
      <c r="L17" s="167"/>
      <c r="M17" s="266"/>
      <c r="N17" s="266"/>
      <c r="O17" s="266"/>
      <c r="P17" s="266"/>
      <c r="Q17" s="266"/>
      <c r="R17" s="266"/>
      <c r="S17" s="3"/>
    </row>
    <row r="18" spans="1:19">
      <c r="A18" s="165"/>
      <c r="B18" s="6"/>
      <c r="C18" s="6"/>
      <c r="D18" s="6"/>
      <c r="E18" s="6"/>
      <c r="F18" s="6"/>
      <c r="G18" s="6"/>
      <c r="H18" s="6"/>
      <c r="I18" s="6"/>
      <c r="J18" s="6"/>
      <c r="K18" s="6"/>
      <c r="L18" s="167"/>
      <c r="M18" s="266"/>
      <c r="N18" s="266"/>
      <c r="O18" s="266"/>
      <c r="P18" s="266"/>
      <c r="Q18" s="266"/>
      <c r="R18" s="266"/>
      <c r="S18" s="3"/>
    </row>
    <row r="19" spans="1:19">
      <c r="A19" s="165"/>
      <c r="B19" s="6"/>
      <c r="C19" s="6"/>
      <c r="D19" s="6"/>
      <c r="E19" s="6"/>
      <c r="F19" s="6"/>
      <c r="G19" s="6"/>
      <c r="H19" s="6"/>
      <c r="I19" s="6"/>
      <c r="J19" s="6"/>
      <c r="K19" s="6"/>
      <c r="L19" s="167"/>
      <c r="M19" s="266"/>
      <c r="N19" s="266"/>
      <c r="O19" s="266"/>
      <c r="P19" s="266"/>
      <c r="Q19" s="266"/>
      <c r="R19" s="266"/>
      <c r="S19" s="3"/>
    </row>
    <row r="20" spans="1:19" ht="15.75">
      <c r="A20" s="251" t="s">
        <v>42</v>
      </c>
      <c r="B20" s="143"/>
      <c r="C20" s="2"/>
      <c r="D20" s="2"/>
      <c r="E20" s="283"/>
      <c r="F20" s="129" t="str">
        <f>C55</f>
        <v>CIPE 180</v>
      </c>
      <c r="G20" s="147"/>
      <c r="H20" s="59"/>
      <c r="I20" s="59"/>
      <c r="J20" s="6"/>
      <c r="K20" s="6"/>
      <c r="L20" s="167"/>
      <c r="M20" s="266"/>
      <c r="N20" s="266"/>
      <c r="O20" s="266"/>
      <c r="P20" s="266"/>
      <c r="Q20" s="266"/>
      <c r="R20" s="266"/>
      <c r="S20" s="3"/>
    </row>
    <row r="21" spans="1:19" ht="15.75">
      <c r="A21" s="56" t="s">
        <v>179</v>
      </c>
      <c r="B21" s="25"/>
      <c r="C21" s="25"/>
      <c r="D21" s="25"/>
      <c r="E21" s="59"/>
      <c r="F21" s="59"/>
      <c r="G21" s="59"/>
      <c r="H21" s="59"/>
      <c r="I21" s="59"/>
      <c r="J21" s="6"/>
      <c r="K21" s="6"/>
      <c r="L21" s="167"/>
      <c r="M21" s="266"/>
      <c r="N21" s="266"/>
      <c r="O21" s="266"/>
      <c r="P21" s="266"/>
      <c r="Q21" s="266"/>
      <c r="R21" s="266"/>
      <c r="S21" s="3"/>
    </row>
    <row r="22" spans="1:19">
      <c r="A22" s="165"/>
      <c r="B22" s="6"/>
      <c r="C22" s="6"/>
      <c r="D22" s="6"/>
      <c r="E22" s="6"/>
      <c r="F22" s="6"/>
      <c r="G22" s="6"/>
      <c r="H22" s="6"/>
      <c r="I22" s="6"/>
      <c r="J22" s="6"/>
      <c r="K22" s="6"/>
      <c r="L22" s="167"/>
      <c r="M22" s="266"/>
      <c r="N22" s="266"/>
      <c r="O22" s="266"/>
      <c r="P22" s="266"/>
      <c r="Q22" s="266"/>
      <c r="R22" s="266"/>
      <c r="S22" s="3"/>
    </row>
    <row r="23" spans="1:19" ht="15.75">
      <c r="A23" s="165"/>
      <c r="B23" s="21" t="s">
        <v>43</v>
      </c>
      <c r="C23" s="18">
        <f>IF(G11=1,G3,IF(G11=2,G4,IF(G11=3,G5,IF(G11=4,G6,IF(G11=5,G7,IF(G11=6,G8,IF(G11=7,G9)))))))</f>
        <v>3070</v>
      </c>
      <c r="D23" s="22" t="s">
        <v>45</v>
      </c>
      <c r="E23" s="6"/>
      <c r="F23" s="21" t="s">
        <v>47</v>
      </c>
      <c r="G23" s="18">
        <f>IF(G11=1,E3,IF(G11=2,E4,IF(G11=3,E5,IF(G11=4,E6,IF(G11=5,E7,IF(G11=6,E8,IF(G11=7,E9)))))))</f>
        <v>0.53</v>
      </c>
      <c r="H23" s="22" t="s">
        <v>24</v>
      </c>
      <c r="I23" s="6"/>
      <c r="J23" s="6"/>
      <c r="K23" s="6"/>
      <c r="L23" s="167"/>
      <c r="M23" s="266"/>
      <c r="N23" s="266"/>
      <c r="O23" s="266"/>
      <c r="P23" s="266"/>
      <c r="Q23" s="266"/>
      <c r="R23" s="266"/>
      <c r="S23" s="3"/>
    </row>
    <row r="24" spans="1:19" ht="15.75">
      <c r="A24" s="165"/>
      <c r="B24" s="21" t="s">
        <v>87</v>
      </c>
      <c r="C24" s="18">
        <f>IF(G11=1,I3,IF(G11=2,I4,IF(G11=3,I5,IF(G11=4,I6,IF(G11=5,I7,IF(G11=6,I8,IF(G11=7,I9)))))))</f>
        <v>143</v>
      </c>
      <c r="D24" s="22" t="s">
        <v>46</v>
      </c>
      <c r="E24" s="6"/>
      <c r="F24" s="21" t="s">
        <v>48</v>
      </c>
      <c r="G24" s="18">
        <f>IF(G11=1,D3,IF(G11=2,D4,IF(G11=3,D5,IF(G11=4,D6,IF(G11=5,D7,IF(G11=6,D8,IF(G11=7,D9)))))))</f>
        <v>27</v>
      </c>
      <c r="H24" s="22" t="s">
        <v>24</v>
      </c>
      <c r="I24" s="6"/>
      <c r="J24" s="6"/>
      <c r="K24" s="6"/>
      <c r="L24" s="167"/>
      <c r="M24" s="3"/>
      <c r="N24" s="3"/>
      <c r="O24" s="3"/>
      <c r="P24" s="3"/>
      <c r="Q24" s="3"/>
      <c r="R24" s="3"/>
      <c r="S24" s="3"/>
    </row>
    <row r="25" spans="1:19" ht="15.75">
      <c r="A25" s="165"/>
      <c r="B25" s="21" t="s">
        <v>88</v>
      </c>
      <c r="C25" s="18">
        <f>IF(G11=1,H3,IF(G11=2,H4,IF(G11=3,H5,IF(G11=4,H6,IF(G11=5,H7,IF(G11=6,H8,IF(G11=7,H9)))))))</f>
        <v>228</v>
      </c>
      <c r="D25" s="22" t="s">
        <v>46</v>
      </c>
      <c r="E25" s="6"/>
      <c r="F25" s="21" t="s">
        <v>89</v>
      </c>
      <c r="G25" s="18">
        <f>IF(G11=1,C3,IF(G11=2,C4,IF(G11=3,C5,IF(G11=4,C6,IF(G11=5,C7,IF(G11=6,C8,IF(G11=7,C9)))))))</f>
        <v>18</v>
      </c>
      <c r="H25" s="22" t="s">
        <v>24</v>
      </c>
      <c r="I25" s="6"/>
      <c r="J25" s="6"/>
      <c r="K25" s="6"/>
      <c r="L25" s="167"/>
      <c r="M25" s="3"/>
      <c r="N25" s="3"/>
      <c r="O25" s="3"/>
      <c r="P25" s="3"/>
      <c r="Q25" s="3"/>
      <c r="R25" s="3"/>
      <c r="S25" s="3"/>
    </row>
    <row r="26" spans="1:19" ht="15.75">
      <c r="A26" s="310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73"/>
      <c r="M26" s="281"/>
      <c r="N26" s="281"/>
      <c r="O26" s="281"/>
      <c r="P26" s="3"/>
      <c r="Q26" s="3"/>
      <c r="R26" s="3"/>
      <c r="S26" s="3"/>
    </row>
    <row r="27" spans="1:19" ht="15.75">
      <c r="A27" s="311" t="s">
        <v>156</v>
      </c>
      <c r="B27" s="20"/>
      <c r="C27" s="21" t="s">
        <v>90</v>
      </c>
      <c r="D27" s="271">
        <v>22</v>
      </c>
      <c r="E27" s="220" t="s">
        <v>70</v>
      </c>
      <c r="F27" s="21" t="str">
        <f>IF(OR(J81=0,J82=0)," ","t1 =")</f>
        <v xml:space="preserve"> </v>
      </c>
      <c r="G27" s="271">
        <v>1.2</v>
      </c>
      <c r="H27" s="220" t="s">
        <v>70</v>
      </c>
      <c r="I27" s="20"/>
      <c r="J27" s="20"/>
      <c r="K27" s="20"/>
      <c r="L27" s="57"/>
      <c r="M27" s="20"/>
      <c r="N27" s="281"/>
      <c r="O27" s="281"/>
      <c r="P27" s="281"/>
      <c r="Q27" s="3"/>
      <c r="R27" s="3"/>
      <c r="S27" s="3"/>
    </row>
    <row r="28" spans="1:19" ht="15.75">
      <c r="A28" s="311" t="s">
        <v>156</v>
      </c>
      <c r="B28" s="20"/>
      <c r="C28" s="21" t="s">
        <v>91</v>
      </c>
      <c r="D28" s="271">
        <v>0</v>
      </c>
      <c r="E28" s="220" t="s">
        <v>70</v>
      </c>
      <c r="F28" s="21" t="str">
        <f>IF(OR(J83=0,J84=0)," ","t2 =")</f>
        <v xml:space="preserve"> </v>
      </c>
      <c r="G28" s="271">
        <v>0</v>
      </c>
      <c r="H28" s="220" t="s">
        <v>70</v>
      </c>
      <c r="I28" s="20"/>
      <c r="J28" s="20"/>
      <c r="K28" s="20"/>
      <c r="L28" s="57"/>
      <c r="M28" s="20"/>
      <c r="P28" s="281"/>
      <c r="Q28" s="3"/>
      <c r="R28" s="3"/>
      <c r="S28" s="3"/>
    </row>
    <row r="29" spans="1:19" ht="15.75">
      <c r="A29" s="56"/>
      <c r="B29" s="20"/>
      <c r="C29" s="20"/>
      <c r="D29" s="20"/>
      <c r="E29" s="18"/>
      <c r="F29" s="18"/>
      <c r="G29" s="18"/>
      <c r="H29" s="20"/>
      <c r="I29" s="20"/>
      <c r="J29" s="20"/>
      <c r="K29" s="20"/>
      <c r="L29" s="57"/>
      <c r="M29" s="20"/>
      <c r="P29" s="281"/>
      <c r="Q29" s="3"/>
      <c r="R29" s="3"/>
      <c r="S29" s="3"/>
    </row>
    <row r="30" spans="1:19" ht="15.75">
      <c r="A30" s="171"/>
      <c r="B30" s="20"/>
      <c r="C30" s="20"/>
      <c r="D30" s="20"/>
      <c r="E30" s="20"/>
      <c r="F30" s="18"/>
      <c r="G30" s="20"/>
      <c r="H30" s="20"/>
      <c r="I30" s="20"/>
      <c r="J30" s="20"/>
      <c r="K30" s="20"/>
      <c r="L30" s="57"/>
      <c r="M30" s="20"/>
      <c r="P30" s="281"/>
      <c r="Q30" s="3"/>
      <c r="R30" s="3"/>
      <c r="S30" s="3"/>
    </row>
    <row r="31" spans="1:19" ht="15.75">
      <c r="A31" s="54" t="s">
        <v>50</v>
      </c>
      <c r="B31" s="20">
        <f>E11*C23</f>
        <v>6140</v>
      </c>
      <c r="C31" s="23" t="s">
        <v>45</v>
      </c>
      <c r="D31" s="5"/>
      <c r="E31" s="5"/>
      <c r="F31" s="5"/>
      <c r="G31" s="5"/>
      <c r="H31" s="5"/>
      <c r="I31" s="20"/>
      <c r="J31" s="20"/>
      <c r="K31" s="20"/>
      <c r="L31" s="57"/>
      <c r="M31" s="20"/>
      <c r="P31" s="281"/>
      <c r="Q31" s="3"/>
      <c r="R31" s="3"/>
      <c r="S31" s="3"/>
    </row>
    <row r="32" spans="1:19" ht="15.75">
      <c r="A32" s="54" t="s">
        <v>51</v>
      </c>
      <c r="B32" s="20">
        <f>2*((D27*G27)*N11^2)</f>
        <v>9622.7999999999993</v>
      </c>
      <c r="C32" s="23" t="s">
        <v>45</v>
      </c>
      <c r="D32" s="5"/>
      <c r="E32" s="5"/>
      <c r="F32" s="5"/>
      <c r="G32" s="5"/>
      <c r="H32" s="5"/>
      <c r="I32" s="20"/>
      <c r="J32" s="20"/>
      <c r="K32" s="20"/>
      <c r="L32" s="57"/>
      <c r="M32" s="20"/>
      <c r="P32" s="281"/>
      <c r="Q32" s="3"/>
      <c r="R32" s="3"/>
      <c r="S32" s="3"/>
    </row>
    <row r="33" spans="1:19" ht="15.75">
      <c r="A33" s="54" t="s">
        <v>52</v>
      </c>
      <c r="B33" s="20">
        <f>2*((D28*G28)*N12^2)</f>
        <v>0</v>
      </c>
      <c r="C33" s="23" t="s">
        <v>45</v>
      </c>
      <c r="D33" s="21"/>
      <c r="E33" s="20"/>
      <c r="F33" s="23"/>
      <c r="G33" s="20"/>
      <c r="H33" s="21"/>
      <c r="I33" s="20"/>
      <c r="J33" s="23"/>
      <c r="K33" s="20"/>
      <c r="L33" s="57"/>
      <c r="M33" s="20"/>
      <c r="P33" s="281"/>
      <c r="Q33" s="3"/>
      <c r="R33" s="3"/>
      <c r="S33" s="3"/>
    </row>
    <row r="34" spans="1:19" ht="15.75">
      <c r="A34" s="54" t="s">
        <v>43</v>
      </c>
      <c r="B34" s="18">
        <f>B31+B32+B33</f>
        <v>15762.8</v>
      </c>
      <c r="C34" s="23" t="s">
        <v>45</v>
      </c>
      <c r="D34" s="20"/>
      <c r="E34" s="21"/>
      <c r="F34" s="23"/>
      <c r="G34" s="23"/>
      <c r="H34" s="20"/>
      <c r="I34" s="20"/>
      <c r="J34" s="20"/>
      <c r="K34" s="20"/>
      <c r="L34" s="57"/>
      <c r="M34" s="20"/>
      <c r="N34" s="281"/>
      <c r="O34" s="281"/>
      <c r="P34" s="281"/>
      <c r="Q34" s="3"/>
      <c r="R34" s="3"/>
      <c r="S34" s="3"/>
    </row>
    <row r="35" spans="1:19" ht="15.75">
      <c r="A35" s="54" t="s">
        <v>44</v>
      </c>
      <c r="B35" s="22" t="s">
        <v>57</v>
      </c>
      <c r="C35" s="18">
        <f>B34/N13</f>
        <v>1072.2993197278911</v>
      </c>
      <c r="D35" s="22" t="s">
        <v>46</v>
      </c>
      <c r="E35" s="20"/>
      <c r="F35" s="20"/>
      <c r="G35" s="20"/>
      <c r="H35" s="20"/>
      <c r="I35" s="20"/>
      <c r="J35" s="20"/>
      <c r="K35" s="20"/>
      <c r="L35" s="57"/>
      <c r="M35" s="20"/>
      <c r="N35" s="281"/>
      <c r="O35" s="281"/>
      <c r="P35" s="281"/>
      <c r="Q35" s="3"/>
      <c r="R35" s="3"/>
      <c r="S35" s="3"/>
    </row>
    <row r="36" spans="1:19" ht="15.75">
      <c r="A36" s="54" t="s">
        <v>59</v>
      </c>
      <c r="B36" s="20" t="s">
        <v>49</v>
      </c>
      <c r="C36" s="18">
        <f>E15/C35*100000</f>
        <v>979.20420229908393</v>
      </c>
      <c r="D36" s="23" t="s">
        <v>26</v>
      </c>
      <c r="E36" s="5"/>
      <c r="F36" s="286" t="str">
        <f>IF(C36&lt;=E17,"fb &lt; Fb  O.K ","N.G")</f>
        <v xml:space="preserve">fb &lt; Fb  O.K </v>
      </c>
      <c r="G36" s="6"/>
      <c r="H36" s="18" t="s">
        <v>313</v>
      </c>
      <c r="I36" s="18">
        <f>C36/E17</f>
        <v>0.68000291826325276</v>
      </c>
      <c r="J36" s="43" t="str">
        <f>IF(I36&lt;=1,"     &lt;1   O.K","N.G")</f>
        <v xml:space="preserve">     &lt;1   O.K</v>
      </c>
      <c r="K36" s="6"/>
      <c r="L36" s="167"/>
      <c r="M36" s="3"/>
      <c r="N36" s="20"/>
      <c r="O36" s="23"/>
      <c r="P36" s="3"/>
      <c r="Q36" s="3"/>
      <c r="R36" s="3"/>
      <c r="S36" s="3"/>
    </row>
    <row r="37" spans="1:19" ht="15.75">
      <c r="A37" s="171"/>
      <c r="B37" s="20"/>
      <c r="C37" s="20"/>
      <c r="D37" s="24"/>
      <c r="E37" s="20"/>
      <c r="F37" s="548"/>
      <c r="G37" s="548"/>
      <c r="H37" s="24"/>
      <c r="I37" s="277"/>
      <c r="J37" s="277"/>
      <c r="K37" s="278"/>
      <c r="L37" s="57"/>
      <c r="M37" s="20"/>
      <c r="N37" s="20"/>
      <c r="O37" s="23"/>
      <c r="P37" s="3"/>
      <c r="Q37" s="3"/>
      <c r="R37" s="3"/>
      <c r="S37" s="3"/>
    </row>
    <row r="38" spans="1:19" ht="18.75">
      <c r="A38" s="251" t="s">
        <v>206</v>
      </c>
      <c r="B38" s="2"/>
      <c r="C38" s="2"/>
      <c r="D38" s="2"/>
      <c r="E38" s="2"/>
      <c r="F38" s="143"/>
      <c r="G38" s="353"/>
      <c r="H38" s="351" t="str">
        <f>IF(OR($D$27=0)," ","طول ورق تقویتی ")</f>
        <v xml:space="preserve">طول ورق تقویتی </v>
      </c>
      <c r="I38" s="353"/>
      <c r="J38" s="20"/>
      <c r="K38" s="20"/>
      <c r="L38" s="57"/>
      <c r="M38" s="20"/>
      <c r="N38" s="20"/>
      <c r="O38" s="23"/>
      <c r="P38" s="3"/>
      <c r="Q38" s="3"/>
      <c r="R38" s="3"/>
      <c r="S38" s="3"/>
    </row>
    <row r="39" spans="1:19" ht="15.75">
      <c r="A39" s="165"/>
      <c r="B39" s="2"/>
      <c r="C39" s="2"/>
      <c r="D39" s="2"/>
      <c r="E39" s="2"/>
      <c r="F39" s="2"/>
      <c r="G39" s="20"/>
      <c r="H39" s="162" t="str">
        <f>IF(OR($D$27=0)," ","        L'=((Sx-S)/Sx)^.5*L=")</f>
        <v xml:space="preserve">        L'=((Sx-S)/Sx)^.5*L=</v>
      </c>
      <c r="I39" s="20"/>
      <c r="J39" s="162">
        <f>IF(OR($D$27=0)," ",(((C35-N16)/C35)^0.5)*B17/100)</f>
        <v>4.4164976265480593</v>
      </c>
      <c r="K39" s="180" t="str">
        <f>IF(OR($D$27=0)," ","m ")</f>
        <v xml:space="preserve">m </v>
      </c>
      <c r="L39" s="57"/>
      <c r="M39" s="20"/>
      <c r="N39" s="20"/>
      <c r="P39" s="3"/>
      <c r="Q39" s="3"/>
      <c r="R39" s="3"/>
      <c r="S39" s="3"/>
    </row>
    <row r="40" spans="1:19" ht="15.75">
      <c r="A40" s="246"/>
      <c r="B40" s="149" t="s">
        <v>34</v>
      </c>
      <c r="C40" s="229">
        <f>C35*B15*H17*0.00001</f>
        <v>15.441110204081632</v>
      </c>
      <c r="D40" s="147" t="s">
        <v>35</v>
      </c>
      <c r="E40" s="226" t="str">
        <f>IF(C36&lt;E17,"GOOD","N.G.")</f>
        <v>GOOD</v>
      </c>
      <c r="F40" s="2"/>
      <c r="G40" s="20"/>
      <c r="H40" s="5"/>
      <c r="I40" s="172" t="str">
        <f>IF(OR($D$27=0)," ","Lpl= ")</f>
        <v xml:space="preserve">Lpl= </v>
      </c>
      <c r="J40" s="238">
        <f>IF(OR($D$27=0)," ",ROUND(J39,1))</f>
        <v>4.4000000000000004</v>
      </c>
      <c r="K40" s="180" t="str">
        <f>IF(OR($D$27=0)," ","m ")</f>
        <v xml:space="preserve">m </v>
      </c>
      <c r="L40" s="312"/>
      <c r="P40" s="3"/>
      <c r="Q40" s="3"/>
      <c r="R40" s="3"/>
      <c r="S40" s="3"/>
    </row>
    <row r="41" spans="1:19" ht="15.75">
      <c r="A41" s="165"/>
      <c r="B41" s="2"/>
      <c r="C41" s="233" t="str">
        <f>IF(E36&lt;=G19,"fb &lt; Fb  O.K ","N.G")</f>
        <v xml:space="preserve">fb &lt; Fb  O.K </v>
      </c>
      <c r="D41" s="2"/>
      <c r="E41" s="5"/>
      <c r="F41" s="2"/>
      <c r="G41" s="20"/>
      <c r="H41" s="6"/>
      <c r="I41" s="143"/>
      <c r="J41" s="227" t="str">
        <f>IF(OR($D$27=0)," ",CONCATENATE(ROUND(10000*J40/B17,0),"%"))</f>
        <v>76%</v>
      </c>
      <c r="K41" s="115"/>
      <c r="L41" s="252"/>
      <c r="M41" s="162"/>
      <c r="N41" s="143"/>
      <c r="O41" s="162"/>
      <c r="P41" s="3"/>
      <c r="Q41" s="3"/>
      <c r="R41" s="3"/>
      <c r="S41" s="3"/>
    </row>
    <row r="42" spans="1:19" ht="15.75">
      <c r="A42" s="165"/>
      <c r="B42" s="6"/>
      <c r="C42" s="6"/>
      <c r="D42" s="20"/>
      <c r="E42" s="20"/>
      <c r="F42" s="2"/>
      <c r="G42" s="5"/>
      <c r="H42" s="162"/>
      <c r="I42" s="5"/>
      <c r="J42" s="143"/>
      <c r="K42" s="20"/>
      <c r="L42" s="57"/>
      <c r="M42" s="20"/>
      <c r="N42" s="20"/>
      <c r="O42" s="23"/>
      <c r="P42" s="3"/>
      <c r="Q42" s="3"/>
      <c r="R42" s="3"/>
      <c r="S42" s="3"/>
    </row>
    <row r="43" spans="1:19" ht="15.75">
      <c r="A43" s="56" t="s">
        <v>60</v>
      </c>
      <c r="B43" s="20"/>
      <c r="C43" s="20"/>
      <c r="D43" s="20"/>
      <c r="E43" s="6"/>
      <c r="F43" s="143"/>
      <c r="G43" s="5"/>
      <c r="H43" s="143"/>
      <c r="I43" s="5"/>
      <c r="J43" s="5"/>
      <c r="K43" s="20"/>
      <c r="L43" s="57"/>
      <c r="M43" s="20"/>
      <c r="N43" s="20"/>
      <c r="O43" s="23"/>
      <c r="P43" s="281"/>
    </row>
    <row r="44" spans="1:19" ht="15.75">
      <c r="A44" s="165"/>
      <c r="B44" s="6"/>
      <c r="C44" s="6"/>
      <c r="D44" s="6"/>
      <c r="E44" s="6"/>
      <c r="F44" s="143"/>
      <c r="G44" s="143"/>
      <c r="H44" s="5"/>
      <c r="I44" s="5"/>
      <c r="J44" s="5"/>
      <c r="K44" s="20"/>
      <c r="L44" s="57"/>
      <c r="M44" s="20"/>
      <c r="N44" s="20"/>
      <c r="O44" s="23"/>
      <c r="P44" s="281"/>
    </row>
    <row r="45" spans="1:19" ht="15.75">
      <c r="A45" s="54" t="s">
        <v>61</v>
      </c>
      <c r="B45" s="20" t="s">
        <v>210</v>
      </c>
      <c r="C45" s="18">
        <f>0.4*B15</f>
        <v>960</v>
      </c>
      <c r="D45" s="23" t="s">
        <v>26</v>
      </c>
      <c r="E45" s="20"/>
      <c r="F45" s="20"/>
      <c r="G45" s="20"/>
      <c r="H45" s="20"/>
      <c r="I45" s="20"/>
      <c r="J45" s="20"/>
      <c r="K45" s="278"/>
      <c r="L45" s="313"/>
      <c r="M45" s="20"/>
      <c r="N45" s="20"/>
      <c r="O45" s="23"/>
      <c r="P45" s="281"/>
    </row>
    <row r="46" spans="1:19" ht="15.75">
      <c r="A46" s="54"/>
      <c r="B46" s="21" t="s">
        <v>209</v>
      </c>
      <c r="C46" s="18">
        <f>C45*(G25)*G23*E11</f>
        <v>18316.8</v>
      </c>
      <c r="D46" s="22" t="s">
        <v>69</v>
      </c>
      <c r="E46" s="20"/>
      <c r="F46" s="20"/>
      <c r="G46" s="20"/>
      <c r="H46" s="20"/>
      <c r="I46" s="20"/>
      <c r="J46" s="20"/>
      <c r="K46" s="20"/>
      <c r="L46" s="57"/>
      <c r="M46" s="20"/>
      <c r="N46" s="20"/>
      <c r="O46" s="23"/>
      <c r="P46" s="281"/>
    </row>
    <row r="47" spans="1:19" ht="15.75">
      <c r="A47" s="54" t="s">
        <v>62</v>
      </c>
      <c r="B47" s="20" t="s">
        <v>63</v>
      </c>
      <c r="C47" s="286">
        <f>E16/(E11*G23*(G25/2))*1000</f>
        <v>916.14255765199164</v>
      </c>
      <c r="D47" s="23" t="s">
        <v>26</v>
      </c>
      <c r="E47" s="300" t="str">
        <f>IF(C45&gt;=C47,"fv &lt; Fv - O.K ","N.G.")</f>
        <v xml:space="preserve">fv &lt; Fv - O.K </v>
      </c>
      <c r="F47" s="20"/>
      <c r="G47" s="5"/>
      <c r="H47" s="5"/>
      <c r="I47" s="5"/>
      <c r="J47" s="5"/>
      <c r="K47" s="20"/>
      <c r="L47" s="57"/>
      <c r="M47" s="20"/>
      <c r="N47" s="20"/>
      <c r="O47" s="23"/>
      <c r="P47" s="281"/>
    </row>
    <row r="48" spans="1:19" ht="15.75">
      <c r="A48" s="171"/>
      <c r="B48" s="5"/>
      <c r="C48" s="5"/>
      <c r="D48" s="20"/>
      <c r="E48" s="20"/>
      <c r="F48" s="20"/>
      <c r="G48" s="20"/>
      <c r="H48" s="20"/>
      <c r="I48" s="20"/>
      <c r="J48" s="20"/>
      <c r="K48" s="20"/>
      <c r="L48" s="57"/>
      <c r="M48" s="20"/>
      <c r="N48" s="20"/>
      <c r="O48" s="23"/>
      <c r="P48" s="281"/>
    </row>
    <row r="49" spans="1:19" ht="15.75">
      <c r="A49" s="56" t="s">
        <v>64</v>
      </c>
      <c r="B49" s="20"/>
      <c r="C49" s="20"/>
      <c r="D49" s="20"/>
      <c r="E49" s="22"/>
      <c r="F49" s="20"/>
      <c r="G49" s="20"/>
      <c r="H49" s="20"/>
      <c r="I49" s="20"/>
      <c r="J49" s="20"/>
      <c r="K49" s="20"/>
      <c r="L49" s="57"/>
      <c r="M49" s="20"/>
      <c r="N49" s="20"/>
      <c r="O49" s="23"/>
      <c r="P49" s="281"/>
    </row>
    <row r="50" spans="1:19" ht="15.75">
      <c r="A50" s="246"/>
      <c r="B50" s="5"/>
      <c r="C50" s="5"/>
      <c r="D50" s="5"/>
      <c r="E50" s="20"/>
      <c r="F50" s="20"/>
      <c r="G50" s="20"/>
      <c r="H50" s="20"/>
      <c r="I50" s="20"/>
      <c r="J50" s="20"/>
      <c r="K50" s="20"/>
      <c r="L50" s="57"/>
      <c r="M50" s="20"/>
      <c r="N50" s="20"/>
      <c r="O50" s="23"/>
      <c r="P50" s="281"/>
    </row>
    <row r="51" spans="1:19" ht="15.75">
      <c r="A51" s="303" t="s">
        <v>66</v>
      </c>
      <c r="B51" s="22"/>
      <c r="C51" s="22"/>
      <c r="D51" s="301">
        <f>(5*(H15+H16)*10*B17^4)/(384*B16*B34)</f>
        <v>1.2591638937369267</v>
      </c>
      <c r="E51" s="18" t="str">
        <f>IF(D51&lt;G51,"&lt;","&gt;")</f>
        <v>&lt;</v>
      </c>
      <c r="F51" s="20" t="s">
        <v>65</v>
      </c>
      <c r="G51" s="301">
        <f>B17/240</f>
        <v>2.4249999999999998</v>
      </c>
      <c r="H51" s="299" t="str">
        <f>IF(E51="&lt;","O.K","N.G.")</f>
        <v>O.K</v>
      </c>
      <c r="I51" s="20"/>
      <c r="J51" s="22"/>
      <c r="K51" s="20"/>
      <c r="L51" s="57"/>
      <c r="M51" s="20"/>
      <c r="N51" s="20"/>
      <c r="O51" s="23"/>
      <c r="P51" s="281"/>
    </row>
    <row r="52" spans="1:19" ht="15.75">
      <c r="A52" s="171"/>
      <c r="B52" s="20"/>
      <c r="C52" s="20"/>
      <c r="D52" s="20"/>
      <c r="E52" s="20"/>
      <c r="F52" s="20"/>
      <c r="G52" s="20"/>
      <c r="H52" s="22"/>
      <c r="I52" s="20"/>
      <c r="J52" s="20"/>
      <c r="K52" s="20"/>
      <c r="L52" s="57"/>
      <c r="M52" s="20"/>
      <c r="N52" s="20"/>
      <c r="O52" s="23"/>
      <c r="P52" s="281"/>
      <c r="Q52" s="281"/>
      <c r="R52" s="281"/>
      <c r="S52" s="281"/>
    </row>
    <row r="53" spans="1:19" ht="15.75">
      <c r="A53" s="544" t="s">
        <v>67</v>
      </c>
      <c r="B53" s="545"/>
      <c r="C53" s="545"/>
      <c r="D53" s="301">
        <f>(5*H16*10*B17^4)/(384*B16*B34)</f>
        <v>0.24370914072327615</v>
      </c>
      <c r="E53" s="18" t="str">
        <f>IF(D53&lt;G53,"&lt;","&gt;")</f>
        <v>&lt;</v>
      </c>
      <c r="F53" s="20" t="s">
        <v>68</v>
      </c>
      <c r="G53" s="301">
        <f>B17/360</f>
        <v>1.6166666666666667</v>
      </c>
      <c r="H53" s="299" t="str">
        <f>IF(E53="&lt;","O.K","N.G.")</f>
        <v>O.K</v>
      </c>
      <c r="I53" s="20"/>
      <c r="J53" s="20"/>
      <c r="K53" s="20"/>
      <c r="L53" s="57"/>
      <c r="M53" s="20"/>
      <c r="N53" s="20"/>
      <c r="O53" s="23"/>
      <c r="P53" s="281"/>
      <c r="Q53" s="281"/>
      <c r="R53" s="281"/>
      <c r="S53" s="281"/>
    </row>
    <row r="54" spans="1:19" ht="15.75">
      <c r="A54" s="246"/>
      <c r="B54" s="5"/>
      <c r="C54" s="5"/>
      <c r="D54" s="5"/>
      <c r="E54" s="5"/>
      <c r="F54" s="5"/>
      <c r="G54" s="5"/>
      <c r="H54" s="5"/>
      <c r="I54" s="20"/>
      <c r="J54" s="20"/>
      <c r="K54" s="20"/>
      <c r="L54" s="57"/>
      <c r="M54" s="20"/>
      <c r="N54" s="20"/>
      <c r="O54" s="23"/>
      <c r="P54" s="281"/>
      <c r="Q54" s="281"/>
      <c r="R54" s="281"/>
      <c r="S54" s="281"/>
    </row>
    <row r="55" spans="1:19" ht="15.75">
      <c r="A55" s="171"/>
      <c r="B55" s="285">
        <f>E11</f>
        <v>2</v>
      </c>
      <c r="C55" s="108" t="str">
        <f>IF(G11=1,B3,IF(G11=2,B4,IF(G11=3,B5,IF(G11=4,B6,IF(G11=5,B7,IF(G11=6,B8,IF(G11=7,B9)))))))</f>
        <v>CIPE 180</v>
      </c>
      <c r="D55" s="108"/>
      <c r="E55" s="107" t="str">
        <f>IF(OR($D$27=0,$G$27=0)," ","+ 2 PLATE")</f>
        <v>+ 2 PLATE</v>
      </c>
      <c r="F55" s="108"/>
      <c r="G55" s="285" t="str">
        <f>IF(OR($D$27=0,$G$27=0)," ",CONCATENATE(D27*10," X ",G27*10))</f>
        <v>220 X 12</v>
      </c>
      <c r="H55" s="108" t="str">
        <f>IF(OR($D$28=0,$G$28=0)," ","+ 2 PLATE")</f>
        <v xml:space="preserve"> </v>
      </c>
      <c r="I55" s="276"/>
      <c r="J55" s="108" t="str">
        <f>IF(OR($D$28=0,$G$28=0)," ",CONCATENATE(D28*10," X ",G28*10))</f>
        <v xml:space="preserve"> </v>
      </c>
      <c r="K55" s="276"/>
      <c r="L55" s="57"/>
      <c r="M55" s="20"/>
      <c r="N55" s="20"/>
      <c r="O55" s="23"/>
      <c r="P55" s="281"/>
      <c r="Q55" s="281"/>
      <c r="R55" s="281"/>
      <c r="S55" s="281"/>
    </row>
    <row r="56" spans="1:19" ht="15.75">
      <c r="A56" s="303"/>
      <c r="B56" s="24"/>
      <c r="C56" s="18"/>
      <c r="D56" s="18"/>
      <c r="E56" s="24"/>
      <c r="F56" s="24"/>
      <c r="G56" s="18"/>
      <c r="H56" s="18"/>
      <c r="I56" s="20"/>
      <c r="J56" s="20"/>
      <c r="K56" s="20"/>
      <c r="L56" s="57"/>
      <c r="M56" s="20"/>
      <c r="N56" s="20"/>
      <c r="O56" s="23"/>
      <c r="P56" s="281"/>
      <c r="Q56" s="281"/>
      <c r="R56" s="281"/>
      <c r="S56" s="281"/>
    </row>
    <row r="57" spans="1:19" ht="16.5" thickBot="1">
      <c r="A57" s="200"/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14"/>
      <c r="O57" s="23"/>
      <c r="P57" s="3"/>
      <c r="Q57" s="3"/>
      <c r="R57" s="3"/>
      <c r="S57" s="3"/>
    </row>
    <row r="58" spans="1:19" ht="16.5" thickTop="1">
      <c r="E58" s="20"/>
      <c r="F58" s="20"/>
      <c r="G58" s="20"/>
      <c r="H58" s="20"/>
      <c r="I58" s="20"/>
      <c r="J58" s="20"/>
      <c r="K58" s="278"/>
      <c r="L58" s="278"/>
      <c r="M58" s="20"/>
      <c r="N58" s="20"/>
      <c r="O58" s="23"/>
      <c r="P58" s="3"/>
      <c r="Q58" s="3"/>
      <c r="R58" s="3"/>
      <c r="S58" s="3"/>
    </row>
    <row r="59" spans="1:19" ht="15.75">
      <c r="A59" s="23"/>
      <c r="B59" s="20"/>
      <c r="C59" s="20"/>
      <c r="D59" s="20"/>
      <c r="E59" s="20"/>
      <c r="F59" s="20"/>
      <c r="G59" s="20"/>
      <c r="H59" s="20"/>
      <c r="I59" s="20"/>
      <c r="J59" s="20"/>
      <c r="K59" s="278"/>
      <c r="L59" s="278"/>
      <c r="M59" s="20"/>
      <c r="N59" s="22"/>
      <c r="O59" s="23"/>
      <c r="P59" s="3"/>
      <c r="Q59" s="3"/>
      <c r="R59" s="3"/>
      <c r="S59" s="3"/>
    </row>
    <row r="60" spans="1:19" ht="15.75">
      <c r="A60" s="23"/>
      <c r="B60" s="20"/>
      <c r="C60" s="20"/>
      <c r="D60" s="20"/>
      <c r="E60" s="20"/>
      <c r="F60" s="20"/>
      <c r="G60" s="20"/>
      <c r="H60" s="20"/>
      <c r="I60" s="20"/>
      <c r="J60" s="20"/>
      <c r="K60" s="278"/>
      <c r="L60" s="278"/>
      <c r="M60" s="20"/>
      <c r="N60" s="20"/>
      <c r="O60" s="23"/>
      <c r="P60" s="3"/>
      <c r="Q60" s="3"/>
      <c r="R60" s="3"/>
      <c r="S60" s="3"/>
    </row>
    <row r="61" spans="1:19">
      <c r="P61" s="3"/>
      <c r="Q61" s="3"/>
      <c r="R61" s="3"/>
      <c r="S61" s="3"/>
    </row>
    <row r="62" spans="1:19">
      <c r="P62" s="3"/>
      <c r="Q62" s="3"/>
      <c r="R62" s="3"/>
      <c r="S62" s="3"/>
    </row>
    <row r="63" spans="1:19">
      <c r="P63" s="3"/>
      <c r="Q63" s="3"/>
      <c r="R63" s="3"/>
      <c r="S63" s="3"/>
    </row>
    <row r="64" spans="1:19">
      <c r="P64" s="3"/>
      <c r="Q64" s="3"/>
      <c r="R64" s="3"/>
      <c r="S64" s="3"/>
    </row>
    <row r="65" spans="1:19">
      <c r="P65" s="3"/>
      <c r="Q65" s="3"/>
      <c r="R65" s="3"/>
      <c r="S65" s="3"/>
    </row>
    <row r="66" spans="1:19">
      <c r="P66" s="3"/>
      <c r="Q66" s="3"/>
      <c r="R66" s="3"/>
      <c r="S66" s="3"/>
    </row>
    <row r="67" spans="1:19">
      <c r="P67" s="3"/>
      <c r="Q67" s="3"/>
      <c r="R67" s="3"/>
      <c r="S67" s="3"/>
    </row>
    <row r="68" spans="1:19">
      <c r="P68" s="3"/>
      <c r="Q68" s="3"/>
      <c r="R68" s="3"/>
      <c r="S68" s="3"/>
    </row>
    <row r="69" spans="1:19">
      <c r="P69" s="3"/>
      <c r="Q69" s="3"/>
      <c r="R69" s="3"/>
      <c r="S69" s="3"/>
    </row>
    <row r="70" spans="1:19">
      <c r="P70" s="3"/>
      <c r="Q70" s="3"/>
      <c r="R70" s="3"/>
      <c r="S70" s="3"/>
    </row>
    <row r="71" spans="1:19">
      <c r="P71" s="3"/>
      <c r="Q71" s="3"/>
      <c r="R71" s="3"/>
      <c r="S71" s="3"/>
    </row>
    <row r="72" spans="1:19">
      <c r="P72" s="3"/>
      <c r="Q72" s="3"/>
      <c r="R72" s="3"/>
      <c r="S72" s="3"/>
    </row>
    <row r="73" spans="1:19">
      <c r="P73" s="3"/>
      <c r="Q73" s="3"/>
      <c r="R73" s="3"/>
      <c r="S73" s="3"/>
    </row>
    <row r="74" spans="1:19" ht="15.7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3"/>
      <c r="Q74" s="3"/>
      <c r="R74" s="3"/>
      <c r="S74" s="3"/>
    </row>
    <row r="75" spans="1:19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3"/>
      <c r="Q75" s="3"/>
      <c r="R75" s="3"/>
      <c r="S75" s="3"/>
    </row>
    <row r="76" spans="1:19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3"/>
      <c r="Q76" s="3"/>
      <c r="R76" s="3"/>
      <c r="S76" s="3"/>
    </row>
    <row r="77" spans="1:19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3"/>
      <c r="Q77" s="3"/>
      <c r="R77" s="3"/>
    </row>
    <row r="78" spans="1:19">
      <c r="A78" s="206"/>
      <c r="B78" s="291"/>
      <c r="C78" s="59"/>
      <c r="D78" s="206"/>
      <c r="E78" s="291"/>
      <c r="F78" s="59"/>
      <c r="G78" s="206"/>
      <c r="H78" s="290"/>
      <c r="I78" s="59"/>
      <c r="J78" s="206"/>
      <c r="K78" s="206"/>
      <c r="L78" s="59"/>
      <c r="M78" s="59"/>
      <c r="N78" s="59"/>
      <c r="O78" s="59"/>
      <c r="P78" s="3"/>
      <c r="Q78" s="3"/>
      <c r="R78" s="3"/>
    </row>
    <row r="79" spans="1:19">
      <c r="A79" s="206"/>
      <c r="B79" s="291"/>
      <c r="C79" s="59"/>
      <c r="D79" s="206"/>
      <c r="E79" s="291"/>
      <c r="F79" s="59"/>
      <c r="G79" s="206"/>
      <c r="H79" s="291"/>
      <c r="I79" s="206"/>
      <c r="J79" s="206"/>
      <c r="K79" s="291"/>
      <c r="L79" s="59"/>
      <c r="M79" s="59"/>
      <c r="N79" s="59"/>
      <c r="O79" s="59"/>
      <c r="P79" s="3"/>
      <c r="Q79" s="3"/>
      <c r="R79" s="3"/>
    </row>
    <row r="80" spans="1:19">
      <c r="A80" s="206"/>
      <c r="B80" s="291"/>
      <c r="C80" s="59"/>
      <c r="D80" s="206"/>
      <c r="E80" s="291"/>
      <c r="F80" s="59"/>
      <c r="G80" s="206"/>
      <c r="H80" s="546"/>
      <c r="I80" s="546"/>
      <c r="J80" s="546"/>
      <c r="K80" s="291"/>
      <c r="L80" s="59"/>
      <c r="M80" s="59"/>
      <c r="N80" s="59"/>
      <c r="O80" s="59"/>
      <c r="P80" s="3"/>
      <c r="Q80" s="3"/>
      <c r="R80" s="3"/>
    </row>
    <row r="81" spans="1:18">
      <c r="A81" s="206"/>
      <c r="B81" s="291"/>
      <c r="C81" s="292"/>
      <c r="D81" s="293"/>
      <c r="E81" s="291"/>
      <c r="F81" s="294"/>
      <c r="G81" s="206"/>
      <c r="H81" s="291"/>
      <c r="I81" s="59"/>
      <c r="J81" s="206"/>
      <c r="K81" s="59"/>
      <c r="L81" s="59"/>
      <c r="M81" s="59"/>
      <c r="N81" s="59"/>
      <c r="O81" s="59"/>
      <c r="P81" s="3"/>
      <c r="Q81" s="3"/>
      <c r="R81" s="3"/>
    </row>
    <row r="82" spans="1:18">
      <c r="A82" s="206"/>
      <c r="B82" s="291"/>
      <c r="C82" s="292"/>
      <c r="D82" s="295"/>
      <c r="E82" s="547"/>
      <c r="F82" s="547"/>
      <c r="G82" s="206"/>
      <c r="H82" s="291"/>
      <c r="I82" s="59"/>
      <c r="J82" s="206"/>
      <c r="K82" s="59"/>
      <c r="L82" s="59"/>
      <c r="M82" s="59"/>
      <c r="N82" s="59"/>
      <c r="O82" s="59"/>
      <c r="P82" s="3"/>
      <c r="Q82" s="3"/>
      <c r="R82" s="3"/>
    </row>
    <row r="83" spans="1:18">
      <c r="A83" s="206"/>
      <c r="B83" s="291"/>
      <c r="C83" s="292"/>
      <c r="D83" s="296"/>
      <c r="E83" s="206"/>
      <c r="F83" s="206"/>
      <c r="G83" s="206"/>
      <c r="H83" s="291"/>
      <c r="I83" s="59"/>
      <c r="J83" s="206"/>
      <c r="K83" s="291"/>
      <c r="L83" s="59"/>
      <c r="M83" s="297"/>
      <c r="N83" s="59"/>
      <c r="O83" s="59"/>
      <c r="P83" s="3"/>
      <c r="Q83" s="3"/>
      <c r="R83" s="3"/>
    </row>
    <row r="84" spans="1:18">
      <c r="A84" s="206"/>
      <c r="B84" s="291"/>
      <c r="C84" s="59"/>
      <c r="D84" s="59"/>
      <c r="E84" s="206"/>
      <c r="F84" s="206"/>
      <c r="G84" s="206"/>
      <c r="H84" s="291"/>
      <c r="I84" s="59"/>
      <c r="J84" s="206"/>
      <c r="K84" s="59"/>
      <c r="L84" s="59"/>
      <c r="M84" s="59"/>
      <c r="N84" s="59"/>
      <c r="O84" s="59"/>
      <c r="P84" s="3"/>
      <c r="Q84" s="3"/>
      <c r="R84" s="3"/>
    </row>
    <row r="85" spans="1:18">
      <c r="A85" s="206"/>
      <c r="B85" s="290"/>
      <c r="C85" s="59"/>
      <c r="D85" s="59"/>
      <c r="E85" s="59"/>
      <c r="F85" s="59"/>
      <c r="G85" s="206"/>
      <c r="H85" s="298"/>
      <c r="I85" s="206"/>
      <c r="J85" s="59"/>
      <c r="K85" s="59"/>
      <c r="L85" s="59"/>
      <c r="M85" s="59"/>
      <c r="N85" s="59"/>
      <c r="O85" s="59"/>
      <c r="P85" s="3"/>
      <c r="Q85" s="3"/>
      <c r="R85" s="3"/>
    </row>
    <row r="86" spans="1:18">
      <c r="A86" s="206"/>
      <c r="B86" s="206"/>
      <c r="C86" s="261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206"/>
      <c r="Q86" s="3"/>
      <c r="R86" s="3"/>
    </row>
    <row r="87" spans="1:18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3"/>
      <c r="Q87" s="3"/>
      <c r="R87" s="3"/>
    </row>
    <row r="88" spans="1:18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3"/>
      <c r="Q88" s="3"/>
      <c r="R88" s="3"/>
    </row>
    <row r="89" spans="1:1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5">
      <c r="A93" s="251"/>
      <c r="B93" s="2"/>
      <c r="C93" s="2"/>
      <c r="D93" s="2"/>
      <c r="E93" s="2"/>
      <c r="F93" s="143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5">
      <c r="A94" s="165"/>
      <c r="B94" s="2"/>
      <c r="C94" s="2"/>
      <c r="D94" s="2"/>
      <c r="E94" s="2"/>
      <c r="F94" s="2"/>
      <c r="G94" s="2"/>
      <c r="H94" s="14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5">
      <c r="A95" s="246"/>
      <c r="B95" s="149"/>
      <c r="C95" s="229"/>
      <c r="D95" s="147"/>
      <c r="E95" s="226"/>
      <c r="F95" s="2"/>
      <c r="G95" s="2"/>
      <c r="H95" s="14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5">
      <c r="A96" s="165"/>
      <c r="B96" s="2"/>
      <c r="C96" s="2"/>
      <c r="D96" s="2"/>
      <c r="E96" s="233"/>
      <c r="F96" s="2"/>
      <c r="G96" s="143"/>
      <c r="H96" s="14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5">
      <c r="A97" s="165"/>
      <c r="B97" s="2"/>
      <c r="C97" s="2"/>
      <c r="D97" s="2"/>
      <c r="E97" s="2"/>
      <c r="F97" s="2"/>
      <c r="G97" s="143"/>
      <c r="H97" s="14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5">
      <c r="A98" s="251"/>
      <c r="B98" s="149"/>
      <c r="C98" s="225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5">
      <c r="A99" s="246"/>
      <c r="B99" s="143"/>
      <c r="C99" s="143"/>
      <c r="D99" s="143"/>
      <c r="E99" s="2"/>
      <c r="F99" s="143"/>
      <c r="G99" s="143"/>
      <c r="H99" s="14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5">
      <c r="A100" s="249"/>
      <c r="B100" s="147"/>
      <c r="C100" s="145"/>
      <c r="D100" s="220"/>
      <c r="E100" s="2"/>
      <c r="F100" s="143"/>
      <c r="G100" s="143"/>
      <c r="H100" s="149"/>
    </row>
    <row r="101" spans="1:18" ht="15">
      <c r="A101" s="250"/>
      <c r="B101" s="7"/>
      <c r="C101" s="145"/>
      <c r="D101" s="147"/>
      <c r="E101" s="2"/>
      <c r="F101" s="143"/>
      <c r="G101" s="143"/>
      <c r="H101" s="149"/>
    </row>
    <row r="102" spans="1:18" ht="15">
      <c r="A102" s="249"/>
      <c r="B102" s="143"/>
      <c r="C102" s="226"/>
      <c r="D102" s="220"/>
      <c r="E102" s="2"/>
      <c r="F102" s="226"/>
      <c r="G102" s="143"/>
      <c r="H102" s="149"/>
    </row>
    <row r="103" spans="1:18" ht="15">
      <c r="A103" s="246"/>
      <c r="B103" s="2"/>
      <c r="C103" s="2"/>
      <c r="D103" s="2"/>
      <c r="E103" s="2"/>
      <c r="F103" s="2"/>
      <c r="G103" s="143"/>
      <c r="H103" s="143"/>
    </row>
    <row r="104" spans="1:18" ht="15">
      <c r="A104" s="251"/>
      <c r="B104" s="2"/>
      <c r="C104" s="2"/>
      <c r="D104" s="2"/>
      <c r="E104" s="143"/>
      <c r="F104" s="143"/>
      <c r="G104" s="2"/>
      <c r="H104" s="2"/>
    </row>
    <row r="105" spans="1:18" ht="15">
      <c r="A105" s="250"/>
      <c r="B105" s="2"/>
      <c r="C105" s="2"/>
      <c r="D105" s="2"/>
      <c r="E105" s="2"/>
      <c r="F105" s="143"/>
      <c r="G105" s="143"/>
      <c r="H105" s="143"/>
    </row>
    <row r="106" spans="1:18" ht="15">
      <c r="A106" s="253"/>
      <c r="B106" s="149"/>
      <c r="C106" s="143"/>
      <c r="D106" s="148"/>
      <c r="E106" s="145"/>
      <c r="F106" s="143"/>
      <c r="G106" s="148"/>
      <c r="H106" s="232"/>
    </row>
    <row r="107" spans="1:18" ht="15">
      <c r="A107" s="250"/>
      <c r="B107" s="143"/>
      <c r="C107" s="143"/>
      <c r="D107" s="143"/>
      <c r="E107" s="143"/>
      <c r="F107" s="143"/>
      <c r="G107" s="226"/>
      <c r="H107" s="234"/>
    </row>
    <row r="108" spans="1:18" ht="15">
      <c r="A108" s="253"/>
      <c r="B108" s="143"/>
      <c r="C108" s="143"/>
      <c r="D108" s="148"/>
      <c r="E108" s="145"/>
      <c r="F108" s="143"/>
      <c r="G108" s="148"/>
      <c r="H108" s="232"/>
    </row>
  </sheetData>
  <mergeCells count="4">
    <mergeCell ref="A53:C53"/>
    <mergeCell ref="H80:J80"/>
    <mergeCell ref="E82:F82"/>
    <mergeCell ref="F37:G37"/>
  </mergeCells>
  <phoneticPr fontId="8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2"/>
  <sheetViews>
    <sheetView workbookViewId="0">
      <selection activeCell="F34" sqref="F34"/>
    </sheetView>
  </sheetViews>
  <sheetFormatPr defaultRowHeight="12.75"/>
  <cols>
    <col min="1" max="1" width="8.85546875" customWidth="1"/>
    <col min="2" max="2" width="11.85546875" bestFit="1" customWidth="1"/>
    <col min="3" max="6" width="7.28515625" customWidth="1"/>
    <col min="7" max="9" width="5.7109375" customWidth="1"/>
    <col min="10" max="14" width="7.7109375" customWidth="1"/>
  </cols>
  <sheetData>
    <row r="1" spans="1:19" ht="35.25">
      <c r="A1" s="218"/>
      <c r="B1" s="119"/>
      <c r="C1" s="140"/>
      <c r="D1" s="141"/>
      <c r="E1" s="141" t="s">
        <v>19</v>
      </c>
      <c r="F1" s="141"/>
      <c r="G1" s="141"/>
      <c r="H1" s="141" t="s">
        <v>20</v>
      </c>
      <c r="I1" s="141"/>
      <c r="J1" s="141" t="s">
        <v>21</v>
      </c>
      <c r="K1" s="142"/>
      <c r="L1" s="119"/>
      <c r="M1" s="119"/>
      <c r="N1" s="119"/>
      <c r="O1" s="26"/>
      <c r="P1" s="26"/>
      <c r="Q1" s="36"/>
      <c r="R1" s="36"/>
      <c r="S1" s="27"/>
    </row>
    <row r="2" spans="1:19" ht="15">
      <c r="A2" s="127" t="s">
        <v>177</v>
      </c>
      <c r="B2" s="267" t="s">
        <v>22</v>
      </c>
      <c r="C2" s="268" t="s">
        <v>13</v>
      </c>
      <c r="D2" s="268" t="s">
        <v>14</v>
      </c>
      <c r="E2" s="268" t="s">
        <v>86</v>
      </c>
      <c r="F2" s="268" t="s">
        <v>15</v>
      </c>
      <c r="G2" s="268" t="s">
        <v>16</v>
      </c>
      <c r="H2" s="268" t="s">
        <v>17</v>
      </c>
      <c r="I2" s="268" t="s">
        <v>0</v>
      </c>
      <c r="J2" s="268" t="s">
        <v>18</v>
      </c>
      <c r="K2" s="268" t="s">
        <v>196</v>
      </c>
      <c r="L2" s="268" t="s">
        <v>197</v>
      </c>
      <c r="M2" s="268" t="s">
        <v>198</v>
      </c>
      <c r="N2" s="268" t="s">
        <v>199</v>
      </c>
      <c r="O2" s="26"/>
      <c r="P2" s="26"/>
      <c r="Q2" s="36"/>
      <c r="R2" s="36"/>
      <c r="S2" s="27"/>
    </row>
    <row r="3" spans="1:19" ht="15">
      <c r="A3" s="30">
        <v>1</v>
      </c>
      <c r="B3" s="29" t="s">
        <v>6</v>
      </c>
      <c r="C3" s="29">
        <v>8</v>
      </c>
      <c r="D3" s="29">
        <v>4.5999999999999996</v>
      </c>
      <c r="E3" s="29">
        <v>0.38</v>
      </c>
      <c r="F3" s="29">
        <v>0.52</v>
      </c>
      <c r="G3" s="29">
        <v>0.5</v>
      </c>
      <c r="H3" s="29">
        <v>5.9</v>
      </c>
      <c r="I3" s="29">
        <v>7.64</v>
      </c>
      <c r="J3" s="29">
        <v>6</v>
      </c>
      <c r="K3" s="29">
        <v>80.099999999999994</v>
      </c>
      <c r="L3" s="29">
        <v>20</v>
      </c>
      <c r="M3" s="29">
        <v>8.49</v>
      </c>
      <c r="N3" s="29">
        <v>3.69</v>
      </c>
      <c r="O3" s="26"/>
      <c r="P3" s="136">
        <v>1</v>
      </c>
      <c r="Q3" s="31">
        <v>80</v>
      </c>
      <c r="R3" s="3"/>
      <c r="S3" s="27"/>
    </row>
    <row r="4" spans="1:19" ht="15">
      <c r="A4" s="30">
        <v>2</v>
      </c>
      <c r="B4" s="32" t="s">
        <v>4</v>
      </c>
      <c r="C4" s="32">
        <v>10</v>
      </c>
      <c r="D4" s="32">
        <v>5.5</v>
      </c>
      <c r="E4" s="32">
        <v>0.41</v>
      </c>
      <c r="F4" s="32">
        <v>0.56999999999999995</v>
      </c>
      <c r="G4" s="32">
        <v>0.7</v>
      </c>
      <c r="H4" s="32">
        <v>7.4</v>
      </c>
      <c r="I4" s="32">
        <v>10.3</v>
      </c>
      <c r="J4" s="32">
        <v>8.1</v>
      </c>
      <c r="K4" s="32">
        <v>171</v>
      </c>
      <c r="L4" s="32">
        <v>34.200000000000003</v>
      </c>
      <c r="M4" s="32">
        <v>15.9</v>
      </c>
      <c r="N4" s="32">
        <v>5.79</v>
      </c>
      <c r="O4" s="26"/>
      <c r="P4" s="136">
        <v>2</v>
      </c>
      <c r="Q4" s="31">
        <v>100</v>
      </c>
      <c r="R4" s="3"/>
      <c r="S4" s="27"/>
    </row>
    <row r="5" spans="1:19" ht="15">
      <c r="A5" s="30">
        <v>3</v>
      </c>
      <c r="B5" s="29" t="s">
        <v>5</v>
      </c>
      <c r="C5" s="29">
        <v>12</v>
      </c>
      <c r="D5" s="29">
        <v>6.4</v>
      </c>
      <c r="E5" s="29">
        <v>0.44</v>
      </c>
      <c r="F5" s="29">
        <v>0.63</v>
      </c>
      <c r="G5" s="29">
        <v>0.7</v>
      </c>
      <c r="H5" s="29">
        <v>9.3000000000000007</v>
      </c>
      <c r="I5" s="29">
        <v>13.2</v>
      </c>
      <c r="J5" s="29">
        <v>10.4</v>
      </c>
      <c r="K5" s="29">
        <v>318</v>
      </c>
      <c r="L5" s="29">
        <v>53</v>
      </c>
      <c r="M5" s="29">
        <v>27.7</v>
      </c>
      <c r="N5" s="29">
        <v>8.65</v>
      </c>
      <c r="O5" s="26"/>
      <c r="P5" s="136">
        <v>3</v>
      </c>
      <c r="Q5" s="31">
        <v>120</v>
      </c>
      <c r="R5" s="3"/>
      <c r="S5" s="27"/>
    </row>
    <row r="6" spans="1:19" ht="15">
      <c r="A6" s="30">
        <v>4</v>
      </c>
      <c r="B6" s="32" t="s">
        <v>23</v>
      </c>
      <c r="C6" s="32">
        <v>14</v>
      </c>
      <c r="D6" s="32">
        <v>7.3</v>
      </c>
      <c r="E6" s="32">
        <v>0.47</v>
      </c>
      <c r="F6" s="32">
        <v>0.69</v>
      </c>
      <c r="G6" s="32">
        <v>0.7</v>
      </c>
      <c r="H6" s="32">
        <v>11.2</v>
      </c>
      <c r="I6" s="32">
        <v>16.399999999999999</v>
      </c>
      <c r="J6" s="32">
        <v>12.9</v>
      </c>
      <c r="K6" s="32">
        <v>541</v>
      </c>
      <c r="L6" s="32">
        <v>77.3</v>
      </c>
      <c r="M6" s="32">
        <v>44.9</v>
      </c>
      <c r="N6" s="32">
        <v>12.3</v>
      </c>
      <c r="O6" s="26"/>
      <c r="P6" s="136">
        <v>4</v>
      </c>
      <c r="Q6" s="31">
        <v>140</v>
      </c>
      <c r="R6" s="3"/>
      <c r="S6" s="27"/>
    </row>
    <row r="7" spans="1:19" ht="15">
      <c r="A7" s="30">
        <v>5</v>
      </c>
      <c r="B7" s="29" t="s">
        <v>1</v>
      </c>
      <c r="C7" s="29">
        <v>16</v>
      </c>
      <c r="D7" s="29">
        <v>8.1999999999999993</v>
      </c>
      <c r="E7" s="29">
        <v>0.5</v>
      </c>
      <c r="F7" s="29">
        <v>0.74</v>
      </c>
      <c r="G7" s="29">
        <v>0.9</v>
      </c>
      <c r="H7" s="29">
        <v>12.7</v>
      </c>
      <c r="I7" s="29">
        <v>20.100000000000001</v>
      </c>
      <c r="J7" s="29">
        <v>15.8</v>
      </c>
      <c r="K7" s="29">
        <v>869</v>
      </c>
      <c r="L7" s="29">
        <v>109</v>
      </c>
      <c r="M7" s="29">
        <v>68.3</v>
      </c>
      <c r="N7" s="29">
        <v>16.7</v>
      </c>
      <c r="O7" s="26"/>
      <c r="P7" s="136">
        <v>5</v>
      </c>
      <c r="Q7" s="31">
        <v>160</v>
      </c>
      <c r="R7" s="3"/>
      <c r="S7" s="27"/>
    </row>
    <row r="8" spans="1:19" ht="15">
      <c r="A8" s="30">
        <v>6</v>
      </c>
      <c r="B8" s="32" t="s">
        <v>2</v>
      </c>
      <c r="C8" s="32">
        <v>18</v>
      </c>
      <c r="D8" s="32">
        <v>9.1</v>
      </c>
      <c r="E8" s="32">
        <v>0.53</v>
      </c>
      <c r="F8" s="32">
        <v>0.8</v>
      </c>
      <c r="G8" s="32">
        <v>0.9</v>
      </c>
      <c r="H8" s="32">
        <v>14.6</v>
      </c>
      <c r="I8" s="32">
        <v>23.9</v>
      </c>
      <c r="J8" s="32">
        <v>18.8</v>
      </c>
      <c r="K8" s="32">
        <v>1320</v>
      </c>
      <c r="L8" s="32">
        <v>146</v>
      </c>
      <c r="M8" s="32">
        <v>101</v>
      </c>
      <c r="N8" s="32">
        <v>22.2</v>
      </c>
      <c r="O8" s="26"/>
      <c r="P8" s="136">
        <v>6</v>
      </c>
      <c r="Q8" s="31">
        <v>180</v>
      </c>
      <c r="R8" s="3"/>
      <c r="S8" s="27"/>
    </row>
    <row r="9" spans="1:19" ht="15">
      <c r="A9" s="30">
        <v>7</v>
      </c>
      <c r="B9" s="29" t="s">
        <v>3</v>
      </c>
      <c r="C9" s="29">
        <v>20</v>
      </c>
      <c r="D9" s="29">
        <v>10</v>
      </c>
      <c r="E9" s="29">
        <v>0.56000000000000005</v>
      </c>
      <c r="F9" s="29">
        <v>0.85</v>
      </c>
      <c r="G9" s="29">
        <v>1.2</v>
      </c>
      <c r="H9" s="29">
        <v>15.9</v>
      </c>
      <c r="I9" s="29">
        <v>28.5</v>
      </c>
      <c r="J9" s="29">
        <v>22.4</v>
      </c>
      <c r="K9" s="29">
        <v>1940</v>
      </c>
      <c r="L9" s="29">
        <v>194</v>
      </c>
      <c r="M9" s="29">
        <v>142</v>
      </c>
      <c r="N9" s="29">
        <v>28.5</v>
      </c>
      <c r="O9" s="26"/>
      <c r="P9" s="136">
        <v>7</v>
      </c>
      <c r="Q9" s="31">
        <v>200</v>
      </c>
      <c r="R9" s="3"/>
      <c r="S9" s="27"/>
    </row>
    <row r="10" spans="1:19" ht="15">
      <c r="A10" s="30">
        <v>8</v>
      </c>
      <c r="B10" s="32" t="s">
        <v>7</v>
      </c>
      <c r="C10" s="32">
        <v>22</v>
      </c>
      <c r="D10" s="32">
        <v>11</v>
      </c>
      <c r="E10" s="32">
        <v>0.59</v>
      </c>
      <c r="F10" s="32">
        <v>0.92</v>
      </c>
      <c r="G10" s="32">
        <v>1.2</v>
      </c>
      <c r="H10" s="32">
        <v>17.7</v>
      </c>
      <c r="I10" s="32">
        <v>33.4</v>
      </c>
      <c r="J10" s="32">
        <v>26.2</v>
      </c>
      <c r="K10" s="32">
        <v>2770</v>
      </c>
      <c r="L10" s="32">
        <v>252</v>
      </c>
      <c r="M10" s="32">
        <v>205</v>
      </c>
      <c r="N10" s="32">
        <v>37.299999999999997</v>
      </c>
      <c r="O10" s="26"/>
      <c r="P10" s="136">
        <v>8</v>
      </c>
      <c r="Q10" s="31">
        <v>220</v>
      </c>
      <c r="R10" s="3"/>
      <c r="S10" s="27"/>
    </row>
    <row r="11" spans="1:19" ht="15">
      <c r="A11" s="30">
        <v>9</v>
      </c>
      <c r="B11" s="29" t="s">
        <v>8</v>
      </c>
      <c r="C11" s="29">
        <v>24</v>
      </c>
      <c r="D11" s="29">
        <v>12</v>
      </c>
      <c r="E11" s="29">
        <v>0.62</v>
      </c>
      <c r="F11" s="29">
        <v>0.98</v>
      </c>
      <c r="G11" s="29">
        <v>1.5</v>
      </c>
      <c r="H11" s="29">
        <v>19</v>
      </c>
      <c r="I11" s="29">
        <v>39.1</v>
      </c>
      <c r="J11" s="29">
        <v>30.7</v>
      </c>
      <c r="K11" s="29">
        <v>3890</v>
      </c>
      <c r="L11" s="29">
        <v>324</v>
      </c>
      <c r="M11" s="29">
        <v>284</v>
      </c>
      <c r="N11" s="29">
        <v>47.3</v>
      </c>
      <c r="O11" s="26"/>
      <c r="P11" s="136">
        <v>9</v>
      </c>
      <c r="Q11" s="31">
        <v>240</v>
      </c>
      <c r="R11" s="3"/>
      <c r="S11" s="27"/>
    </row>
    <row r="12" spans="1:19" ht="15">
      <c r="A12" s="30">
        <v>10</v>
      </c>
      <c r="B12" s="32" t="s">
        <v>9</v>
      </c>
      <c r="C12" s="32">
        <v>27</v>
      </c>
      <c r="D12" s="32">
        <v>13.5</v>
      </c>
      <c r="E12" s="32">
        <v>0.66</v>
      </c>
      <c r="F12" s="32">
        <v>1.02</v>
      </c>
      <c r="G12" s="32">
        <v>1.5</v>
      </c>
      <c r="H12" s="32">
        <v>21.9</v>
      </c>
      <c r="I12" s="32">
        <v>45.9</v>
      </c>
      <c r="J12" s="32">
        <v>36.1</v>
      </c>
      <c r="K12" s="32">
        <v>5790</v>
      </c>
      <c r="L12" s="32">
        <v>429</v>
      </c>
      <c r="M12" s="32">
        <v>420</v>
      </c>
      <c r="N12" s="32">
        <v>62.2</v>
      </c>
      <c r="O12" s="26"/>
      <c r="P12" s="136">
        <v>10</v>
      </c>
      <c r="Q12" s="31">
        <v>270</v>
      </c>
      <c r="R12" s="3"/>
      <c r="S12" s="27"/>
    </row>
    <row r="13" spans="1:19" ht="15">
      <c r="A13" s="30">
        <v>11</v>
      </c>
      <c r="B13" s="29" t="s">
        <v>10</v>
      </c>
      <c r="C13" s="29">
        <v>30</v>
      </c>
      <c r="D13" s="29">
        <v>15</v>
      </c>
      <c r="E13" s="29">
        <v>0.71</v>
      </c>
      <c r="F13" s="29">
        <v>1.07</v>
      </c>
      <c r="G13" s="29">
        <v>1.5</v>
      </c>
      <c r="H13" s="29">
        <v>24.8</v>
      </c>
      <c r="I13" s="29">
        <v>53.8</v>
      </c>
      <c r="J13" s="29">
        <v>42.2</v>
      </c>
      <c r="K13" s="29">
        <v>8360</v>
      </c>
      <c r="L13" s="29">
        <v>557</v>
      </c>
      <c r="M13" s="29">
        <v>604</v>
      </c>
      <c r="N13" s="29">
        <v>80.5</v>
      </c>
      <c r="O13" s="26"/>
      <c r="P13" s="136">
        <v>11</v>
      </c>
      <c r="Q13" s="31">
        <v>300</v>
      </c>
      <c r="R13" s="3"/>
      <c r="S13" s="27"/>
    </row>
    <row r="14" spans="1:19" ht="15">
      <c r="A14" s="30">
        <v>12</v>
      </c>
      <c r="B14" s="32" t="s">
        <v>11</v>
      </c>
      <c r="C14" s="32">
        <v>33</v>
      </c>
      <c r="D14" s="32">
        <v>16</v>
      </c>
      <c r="E14" s="32">
        <v>0.75</v>
      </c>
      <c r="F14" s="32">
        <v>1.1499999999999999</v>
      </c>
      <c r="G14" s="32">
        <v>1.8</v>
      </c>
      <c r="H14" s="32">
        <v>27.1</v>
      </c>
      <c r="I14" s="32">
        <v>62.6</v>
      </c>
      <c r="J14" s="32">
        <v>49.1</v>
      </c>
      <c r="K14" s="32">
        <v>11770</v>
      </c>
      <c r="L14" s="32">
        <v>713</v>
      </c>
      <c r="M14" s="32">
        <v>788</v>
      </c>
      <c r="N14" s="32">
        <v>98.5</v>
      </c>
      <c r="O14" s="26"/>
      <c r="P14" s="136">
        <v>12</v>
      </c>
      <c r="Q14" s="31">
        <v>330</v>
      </c>
      <c r="R14" s="3"/>
      <c r="S14" s="27"/>
    </row>
    <row r="15" spans="1:19" ht="15">
      <c r="A15" s="30">
        <v>13</v>
      </c>
      <c r="B15" s="29" t="s">
        <v>12</v>
      </c>
      <c r="C15" s="29">
        <v>36</v>
      </c>
      <c r="D15" s="29">
        <v>17</v>
      </c>
      <c r="E15" s="29">
        <v>0.8</v>
      </c>
      <c r="F15" s="29">
        <v>1.27</v>
      </c>
      <c r="G15" s="29">
        <v>1.8</v>
      </c>
      <c r="H15" s="29">
        <v>29.8</v>
      </c>
      <c r="I15" s="29">
        <v>72.7</v>
      </c>
      <c r="J15" s="29">
        <v>57.1</v>
      </c>
      <c r="K15" s="29">
        <v>16270</v>
      </c>
      <c r="L15" s="29">
        <v>904</v>
      </c>
      <c r="M15" s="29">
        <v>1040</v>
      </c>
      <c r="N15" s="29">
        <v>123</v>
      </c>
      <c r="O15" s="26"/>
      <c r="P15" s="136">
        <v>13</v>
      </c>
      <c r="Q15" s="31">
        <v>360</v>
      </c>
      <c r="R15" s="3"/>
      <c r="S15" s="27"/>
    </row>
    <row r="16" spans="1:19" ht="15">
      <c r="A16" s="3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6"/>
      <c r="Q16" s="36"/>
      <c r="R16" s="36"/>
      <c r="S16" s="27"/>
    </row>
    <row r="17" spans="1:19" ht="18">
      <c r="A17" s="62"/>
      <c r="B17" s="1"/>
      <c r="C17" s="116" t="s">
        <v>200</v>
      </c>
      <c r="D17" s="18"/>
      <c r="E17" s="25"/>
      <c r="F17" s="272">
        <v>2</v>
      </c>
      <c r="G17" s="128" t="s">
        <v>177</v>
      </c>
      <c r="H17" s="279">
        <v>9</v>
      </c>
      <c r="I17" s="203"/>
      <c r="J17" s="219"/>
      <c r="K17" s="219" t="s">
        <v>178</v>
      </c>
      <c r="L17" s="115"/>
      <c r="M17" s="115"/>
      <c r="N17" s="115"/>
      <c r="O17" s="115"/>
      <c r="P17" s="62"/>
      <c r="Q17" s="36"/>
      <c r="R17" s="36"/>
      <c r="S17" s="27"/>
    </row>
    <row r="18" spans="1:19" ht="16.5" thickBot="1">
      <c r="A18" s="3"/>
      <c r="B18" s="18"/>
      <c r="C18" s="150"/>
      <c r="D18" s="18"/>
      <c r="E18" s="260"/>
      <c r="F18" s="144"/>
      <c r="G18" s="1"/>
      <c r="H18" s="1"/>
      <c r="I18" s="1"/>
      <c r="J18" s="1"/>
      <c r="K18" s="1"/>
      <c r="L18" s="1"/>
      <c r="M18" s="1"/>
      <c r="N18" s="549"/>
      <c r="O18" s="549"/>
      <c r="P18" s="549"/>
      <c r="Q18" s="115">
        <v>7.1</v>
      </c>
      <c r="R18" s="36"/>
      <c r="S18" s="27"/>
    </row>
    <row r="19" spans="1:19" ht="17.100000000000001" customHeight="1" thickTop="1">
      <c r="A19" s="239" t="s">
        <v>40</v>
      </c>
      <c r="B19" s="240"/>
      <c r="C19" s="240"/>
      <c r="D19" s="241"/>
      <c r="E19" s="240" t="s">
        <v>371</v>
      </c>
      <c r="F19" s="344"/>
      <c r="G19" s="242"/>
      <c r="H19" s="243"/>
      <c r="I19" s="244"/>
      <c r="J19" s="241"/>
      <c r="K19" s="241"/>
      <c r="L19" s="245"/>
      <c r="M19" s="2"/>
      <c r="N19" s="115"/>
      <c r="O19" s="115"/>
      <c r="P19" s="115"/>
      <c r="Q19" s="36">
        <v>9.3000000000000007</v>
      </c>
      <c r="R19" s="36">
        <v>13.72</v>
      </c>
      <c r="S19" s="27"/>
    </row>
    <row r="20" spans="1:19" ht="17.100000000000001" customHeight="1">
      <c r="A20" s="246"/>
      <c r="B20" s="2"/>
      <c r="C20" s="2"/>
      <c r="D20" s="2"/>
      <c r="E20" s="2"/>
      <c r="F20" s="2"/>
      <c r="G20" s="137"/>
      <c r="H20" s="2"/>
      <c r="I20" s="62"/>
      <c r="J20" s="2"/>
      <c r="K20" s="2"/>
      <c r="L20" s="247"/>
      <c r="M20" s="115"/>
      <c r="N20" s="115"/>
      <c r="O20" s="115"/>
      <c r="P20" s="115"/>
      <c r="Q20" s="36">
        <f>Q18/2</f>
        <v>3.55</v>
      </c>
      <c r="R20" s="36">
        <f>Q19*Q20/(R19+Q19)</f>
        <v>1.4341876629018244</v>
      </c>
      <c r="S20" s="27"/>
    </row>
    <row r="21" spans="1:19" ht="15">
      <c r="A21" s="133" t="s">
        <v>28</v>
      </c>
      <c r="B21" s="272">
        <v>2400</v>
      </c>
      <c r="C21" s="138" t="s">
        <v>26</v>
      </c>
      <c r="D21" s="137" t="s">
        <v>29</v>
      </c>
      <c r="E21" s="272">
        <v>23.35</v>
      </c>
      <c r="F21" s="138" t="s">
        <v>30</v>
      </c>
      <c r="G21" s="137" t="s">
        <v>36</v>
      </c>
      <c r="H21" s="272">
        <v>2.76</v>
      </c>
      <c r="I21" s="138" t="s">
        <v>38</v>
      </c>
      <c r="J21" s="2"/>
      <c r="K21" s="2"/>
      <c r="L21" s="247"/>
      <c r="M21" s="115"/>
      <c r="N21" s="2"/>
      <c r="O21" s="115"/>
      <c r="P21" s="115"/>
      <c r="Q21" s="36"/>
      <c r="R21" s="36"/>
      <c r="S21" s="27"/>
    </row>
    <row r="22" spans="1:19" ht="15">
      <c r="A22" s="133" t="s">
        <v>33</v>
      </c>
      <c r="B22" s="272">
        <v>2100000</v>
      </c>
      <c r="C22" s="138" t="s">
        <v>26</v>
      </c>
      <c r="D22" s="137" t="s">
        <v>31</v>
      </c>
      <c r="E22" s="272">
        <v>13.75</v>
      </c>
      <c r="F22" s="138" t="s">
        <v>27</v>
      </c>
      <c r="G22" s="137" t="s">
        <v>37</v>
      </c>
      <c r="H22" s="272">
        <v>0.69</v>
      </c>
      <c r="I22" s="138" t="s">
        <v>38</v>
      </c>
      <c r="J22" s="115"/>
      <c r="K22" s="115"/>
      <c r="L22" s="248"/>
      <c r="M22" s="115"/>
      <c r="N22" s="115"/>
      <c r="O22" s="115"/>
      <c r="P22" s="115"/>
      <c r="Q22" s="36">
        <f>(Q18-R20*2)/2</f>
        <v>2.1158123370981752</v>
      </c>
      <c r="R22" s="36"/>
      <c r="S22" s="27"/>
    </row>
    <row r="23" spans="1:19" ht="15">
      <c r="A23" s="249" t="s">
        <v>25</v>
      </c>
      <c r="B23" s="275">
        <v>740</v>
      </c>
      <c r="C23" s="138" t="s">
        <v>70</v>
      </c>
      <c r="D23" s="149" t="s">
        <v>41</v>
      </c>
      <c r="E23" s="226">
        <f>H23*B21</f>
        <v>1440</v>
      </c>
      <c r="F23" s="147" t="s">
        <v>26</v>
      </c>
      <c r="G23" s="137" t="s">
        <v>32</v>
      </c>
      <c r="H23" s="272">
        <v>0.6</v>
      </c>
      <c r="I23" s="145"/>
      <c r="J23" s="143"/>
      <c r="K23" s="115"/>
      <c r="L23" s="248"/>
      <c r="M23" s="115"/>
      <c r="N23" s="115"/>
      <c r="O23" s="115"/>
      <c r="P23" s="115"/>
      <c r="Q23" s="36"/>
      <c r="R23" s="36"/>
      <c r="S23" s="27"/>
    </row>
    <row r="24" spans="1:19" ht="15">
      <c r="A24" s="250"/>
      <c r="B24" s="2"/>
      <c r="C24" s="2"/>
      <c r="D24" s="2"/>
      <c r="E24" s="2"/>
      <c r="F24" s="2"/>
      <c r="G24" s="143"/>
      <c r="H24" s="2"/>
      <c r="I24" s="2"/>
      <c r="J24" s="143"/>
      <c r="K24" s="115"/>
      <c r="L24" s="248"/>
      <c r="M24" s="115"/>
      <c r="N24" s="115"/>
      <c r="O24" s="115"/>
      <c r="P24" s="26"/>
      <c r="Q24" s="36"/>
      <c r="R24" s="36"/>
      <c r="S24" s="27"/>
    </row>
    <row r="25" spans="1:19" ht="15">
      <c r="A25" s="250"/>
      <c r="B25" s="143"/>
      <c r="C25" s="143"/>
      <c r="D25" s="2"/>
      <c r="E25" s="2"/>
      <c r="F25" s="2"/>
      <c r="G25" s="143"/>
      <c r="H25" s="2"/>
      <c r="I25" s="2"/>
      <c r="J25" s="2"/>
      <c r="K25" s="115"/>
      <c r="L25" s="248"/>
      <c r="M25" s="115"/>
      <c r="N25" s="115"/>
      <c r="O25" s="115"/>
      <c r="P25" s="26"/>
      <c r="Q25" s="36"/>
      <c r="R25" s="36"/>
      <c r="S25" s="27"/>
    </row>
    <row r="26" spans="1:19" ht="15">
      <c r="A26" s="251" t="s">
        <v>42</v>
      </c>
      <c r="B26" s="143"/>
      <c r="C26" s="2"/>
      <c r="D26" s="2"/>
      <c r="E26" s="151">
        <f>F17</f>
        <v>2</v>
      </c>
      <c r="F26" s="152" t="str">
        <f>C59</f>
        <v>IPE</v>
      </c>
      <c r="G26" s="153">
        <f>D59</f>
        <v>240</v>
      </c>
      <c r="H26" s="2"/>
      <c r="I26" s="2"/>
      <c r="J26" s="2"/>
      <c r="K26" s="115"/>
      <c r="L26" s="248"/>
      <c r="M26" s="115"/>
      <c r="N26" s="115"/>
      <c r="O26" s="115"/>
      <c r="P26" s="26"/>
      <c r="Q26" s="36"/>
      <c r="R26" s="36"/>
      <c r="S26" s="27"/>
    </row>
    <row r="27" spans="1:19" ht="15.75">
      <c r="A27" s="56" t="s">
        <v>179</v>
      </c>
      <c r="B27" s="25"/>
      <c r="C27" s="25"/>
      <c r="D27" s="25"/>
      <c r="E27" s="2"/>
      <c r="F27" s="2"/>
      <c r="G27" s="2"/>
      <c r="H27" s="2"/>
      <c r="I27" s="2"/>
      <c r="J27" s="2"/>
      <c r="K27" s="143"/>
      <c r="L27" s="252"/>
      <c r="M27" s="115"/>
      <c r="N27" s="115"/>
      <c r="O27" s="26"/>
      <c r="P27" s="26"/>
      <c r="Q27" s="36"/>
      <c r="R27" s="36"/>
      <c r="S27" s="27"/>
    </row>
    <row r="28" spans="1:19" ht="15">
      <c r="A28" s="250"/>
      <c r="B28" s="2"/>
      <c r="C28" s="2"/>
      <c r="D28" s="2"/>
      <c r="E28" s="2"/>
      <c r="F28" s="2"/>
      <c r="G28" s="2"/>
      <c r="H28" s="2"/>
      <c r="I28" s="2"/>
      <c r="J28" s="2"/>
      <c r="K28" s="2"/>
      <c r="L28" s="252"/>
      <c r="M28" s="143"/>
      <c r="N28" s="143"/>
      <c r="O28" s="26"/>
      <c r="P28" s="26"/>
      <c r="Q28" s="35" t="s">
        <v>71</v>
      </c>
      <c r="R28" s="36">
        <f>IF(H17=1,Q3,IF(H17=2,Q4,IF(H17=3,Q5,IF(H17=4,Q6,IF(H17=5,Q7,IF(H17=6,Q8,IF(H17=7,Q9,Q10)))))))</f>
        <v>220</v>
      </c>
      <c r="S28" s="27"/>
    </row>
    <row r="29" spans="1:19" ht="15">
      <c r="A29" s="246"/>
      <c r="B29" s="149" t="s">
        <v>43</v>
      </c>
      <c r="C29" s="146">
        <f>R33</f>
        <v>3890</v>
      </c>
      <c r="D29" s="147" t="s">
        <v>45</v>
      </c>
      <c r="E29" s="143"/>
      <c r="F29" s="149" t="s">
        <v>47</v>
      </c>
      <c r="G29" s="145">
        <f>R39</f>
        <v>0.62</v>
      </c>
      <c r="H29" s="147" t="s">
        <v>24</v>
      </c>
      <c r="I29" s="2"/>
      <c r="J29" s="2"/>
      <c r="K29" s="2"/>
      <c r="L29" s="252"/>
      <c r="M29" s="143"/>
      <c r="N29" s="143"/>
      <c r="O29" s="26"/>
      <c r="P29" s="26"/>
      <c r="Q29" s="35"/>
      <c r="R29" s="36">
        <f>IF(H17=9,Q11,IF(H17=10,Q12,IF(H17=11,Q13,IF(H17=12,Q14,IF(H17=13,Q15)))))</f>
        <v>240</v>
      </c>
      <c r="S29" s="27"/>
    </row>
    <row r="30" spans="1:19" ht="15">
      <c r="A30" s="246"/>
      <c r="B30" s="149" t="s">
        <v>44</v>
      </c>
      <c r="C30" s="146">
        <f>R36</f>
        <v>324</v>
      </c>
      <c r="D30" s="147" t="s">
        <v>46</v>
      </c>
      <c r="E30" s="143"/>
      <c r="F30" s="149" t="s">
        <v>48</v>
      </c>
      <c r="G30" s="145">
        <f>R42</f>
        <v>24</v>
      </c>
      <c r="H30" s="147" t="s">
        <v>24</v>
      </c>
      <c r="I30" s="145"/>
      <c r="J30" s="145"/>
      <c r="K30" s="143"/>
      <c r="L30" s="252"/>
      <c r="M30" s="143"/>
      <c r="N30" s="143"/>
      <c r="O30" s="26"/>
      <c r="P30" s="26"/>
      <c r="Q30" s="35"/>
      <c r="R30" s="36">
        <f>MAX(R28,R29)</f>
        <v>240</v>
      </c>
      <c r="S30" s="27"/>
    </row>
    <row r="31" spans="1:19" ht="15">
      <c r="A31" s="165"/>
      <c r="B31" s="2"/>
      <c r="C31" s="2"/>
      <c r="D31" s="2"/>
      <c r="E31" s="2"/>
      <c r="F31" s="2"/>
      <c r="G31" s="2"/>
      <c r="H31" s="2"/>
      <c r="I31" s="2"/>
      <c r="J31" s="2"/>
      <c r="K31" s="143"/>
      <c r="L31" s="252"/>
      <c r="M31" s="143"/>
      <c r="N31" s="143"/>
      <c r="O31" s="26"/>
      <c r="P31" s="26"/>
      <c r="Q31" s="35" t="s">
        <v>72</v>
      </c>
      <c r="R31" s="36">
        <f>IF(H17=1,K3,IF(H17=2,K4,IF(H17=3,K5,IF(H17=4,K6,IF(H17=5,K7,IF(H17=6,K8,IF(H17=7,K9,K10)))))))</f>
        <v>2770</v>
      </c>
      <c r="S31" s="27"/>
    </row>
    <row r="32" spans="1:19" ht="15">
      <c r="A32" s="302" t="s">
        <v>202</v>
      </c>
      <c r="B32" s="143"/>
      <c r="C32" s="149" t="s">
        <v>90</v>
      </c>
      <c r="D32" s="275">
        <v>30</v>
      </c>
      <c r="E32" s="220" t="s">
        <v>70</v>
      </c>
      <c r="F32" s="2"/>
      <c r="G32" s="149" t="s">
        <v>204</v>
      </c>
      <c r="H32" s="275">
        <v>1.5</v>
      </c>
      <c r="I32" s="220" t="s">
        <v>70</v>
      </c>
      <c r="J32" s="2"/>
      <c r="K32" s="143"/>
      <c r="L32" s="252"/>
      <c r="M32" s="143"/>
      <c r="N32" s="143"/>
      <c r="O32" s="26"/>
      <c r="P32" s="26"/>
      <c r="Q32" s="35"/>
      <c r="R32" s="36">
        <f>IF(H17=9,K11,IF(H17=10,K12,IF(H17=11,K13,IF(H17=12,K14,IF(H17=13,K15)))))</f>
        <v>3890</v>
      </c>
      <c r="S32" s="27"/>
    </row>
    <row r="33" spans="1:19" ht="15">
      <c r="A33" s="302" t="s">
        <v>203</v>
      </c>
      <c r="B33" s="143"/>
      <c r="C33" s="149" t="s">
        <v>91</v>
      </c>
      <c r="D33" s="275">
        <v>0</v>
      </c>
      <c r="E33" s="220" t="s">
        <v>70</v>
      </c>
      <c r="F33" s="2"/>
      <c r="G33" s="149" t="s">
        <v>205</v>
      </c>
      <c r="H33" s="275">
        <v>0</v>
      </c>
      <c r="I33" s="220" t="s">
        <v>70</v>
      </c>
      <c r="J33" s="2"/>
      <c r="K33" s="143"/>
      <c r="L33" s="252"/>
      <c r="M33" s="143"/>
      <c r="N33" s="143"/>
      <c r="O33" s="26"/>
      <c r="P33" s="26"/>
      <c r="Q33" s="35"/>
      <c r="R33" s="36">
        <f>MAX(R32,R31)</f>
        <v>3890</v>
      </c>
      <c r="S33" s="27"/>
    </row>
    <row r="34" spans="1:19" ht="15">
      <c r="A34" s="246"/>
      <c r="B34" s="2"/>
      <c r="C34" s="2"/>
      <c r="D34" s="2"/>
      <c r="E34" s="2"/>
      <c r="F34" s="2"/>
      <c r="G34" s="2"/>
      <c r="H34" s="2"/>
      <c r="I34" s="2"/>
      <c r="J34" s="143"/>
      <c r="K34" s="143"/>
      <c r="L34" s="252"/>
      <c r="M34" s="143"/>
      <c r="N34" s="143"/>
      <c r="O34" s="26"/>
      <c r="P34" s="26"/>
      <c r="Q34" s="35" t="s">
        <v>73</v>
      </c>
      <c r="R34" s="36">
        <f>IF(H17=1,L3,IF(H17=2,L4,IF(H17=3,L5,IF(H17=4,L6,IF(H17=5,L7,IF(H17=6,L8,IF(H17=7,L9,L10)))))))</f>
        <v>252</v>
      </c>
      <c r="S34" s="27"/>
    </row>
    <row r="35" spans="1:19" ht="15">
      <c r="A35" s="249" t="s">
        <v>50</v>
      </c>
      <c r="B35" s="143">
        <f>F17*C29</f>
        <v>7780</v>
      </c>
      <c r="C35" s="220" t="s">
        <v>45</v>
      </c>
      <c r="D35" s="143"/>
      <c r="E35" s="143"/>
      <c r="F35" s="2"/>
      <c r="G35" s="2"/>
      <c r="H35" s="2"/>
      <c r="I35" s="2"/>
      <c r="J35" s="2"/>
      <c r="K35" s="2"/>
      <c r="L35" s="247"/>
      <c r="M35" s="143"/>
      <c r="N35" s="143"/>
      <c r="O35" s="26"/>
      <c r="P35" s="26"/>
      <c r="Q35" s="35"/>
      <c r="R35" s="36">
        <f>IF(H17=9,L11,IF(H17=10,L12,IF(H17=11,L13,IF(H17=12,L14,IF(H17=13,L15)))))</f>
        <v>324</v>
      </c>
      <c r="S35" s="27"/>
    </row>
    <row r="36" spans="1:19" ht="15">
      <c r="A36" s="249" t="s">
        <v>51</v>
      </c>
      <c r="B36" s="143">
        <f>2*(P43*R43^2)</f>
        <v>14630.625</v>
      </c>
      <c r="C36" s="220" t="s">
        <v>45</v>
      </c>
      <c r="D36" s="143"/>
      <c r="E36" s="143"/>
      <c r="F36" s="2"/>
      <c r="G36" s="2"/>
      <c r="H36" s="2"/>
      <c r="I36" s="2"/>
      <c r="J36" s="2"/>
      <c r="K36" s="143"/>
      <c r="L36" s="252"/>
      <c r="M36" s="143"/>
      <c r="N36" s="143"/>
      <c r="O36" s="26"/>
      <c r="P36" s="26"/>
      <c r="Q36" s="35"/>
      <c r="R36" s="36">
        <f>MAX(R35,R34)</f>
        <v>324</v>
      </c>
      <c r="S36" s="27"/>
    </row>
    <row r="37" spans="1:19" ht="15">
      <c r="A37" s="249" t="s">
        <v>52</v>
      </c>
      <c r="B37" s="143">
        <f>2*(P44*R44^2)</f>
        <v>0</v>
      </c>
      <c r="C37" s="220" t="s">
        <v>45</v>
      </c>
      <c r="D37" s="143"/>
      <c r="E37" s="143"/>
      <c r="F37" s="143"/>
      <c r="G37" s="143"/>
      <c r="H37" s="143"/>
      <c r="I37" s="143"/>
      <c r="J37" s="143"/>
      <c r="K37" s="143"/>
      <c r="L37" s="252"/>
      <c r="M37" s="143"/>
      <c r="N37" s="143"/>
      <c r="O37" s="26"/>
      <c r="P37" s="26"/>
      <c r="Q37" s="35" t="s">
        <v>74</v>
      </c>
      <c r="R37" s="36">
        <f>IF(H17=1,E3,IF(H17=2,E4,IF(H17=3,E5,IF(H17=4,E6,IF(H17=5,E7,IF(H17=6,E8,IF(H17=7,E9,E10)))))))</f>
        <v>0.59</v>
      </c>
      <c r="S37" s="27"/>
    </row>
    <row r="38" spans="1:19" ht="18.75">
      <c r="A38" s="249" t="s">
        <v>43</v>
      </c>
      <c r="B38" s="145">
        <f>B35+B36+B37</f>
        <v>22410.625</v>
      </c>
      <c r="C38" s="220" t="s">
        <v>45</v>
      </c>
      <c r="D38" s="143"/>
      <c r="E38" s="143"/>
      <c r="F38" s="24"/>
      <c r="G38" s="20"/>
      <c r="H38" s="23"/>
      <c r="I38" s="155"/>
      <c r="J38" s="125"/>
      <c r="K38" s="155"/>
      <c r="L38" s="254"/>
      <c r="M38" s="143"/>
      <c r="N38" s="143"/>
      <c r="O38" s="26"/>
      <c r="P38" s="26"/>
      <c r="Q38" s="35"/>
      <c r="R38" s="36">
        <f>IF(H17=9,E11,IF(H17=10,E12,IF(H17=11,E13,IF(H17=12,E14,IF(H17=13,E15)))))</f>
        <v>0.62</v>
      </c>
      <c r="S38" s="27"/>
    </row>
    <row r="39" spans="1:19" ht="18.75">
      <c r="A39" s="249" t="s">
        <v>44</v>
      </c>
      <c r="B39" s="147" t="s">
        <v>57</v>
      </c>
      <c r="C39" s="145">
        <f>B38/P45</f>
        <v>1660.0462962962963</v>
      </c>
      <c r="D39" s="147" t="s">
        <v>46</v>
      </c>
      <c r="E39" s="143"/>
      <c r="F39" s="143"/>
      <c r="G39" s="2"/>
      <c r="H39" s="2"/>
      <c r="I39" s="59"/>
      <c r="J39" s="59"/>
      <c r="K39" s="143"/>
      <c r="L39" s="252"/>
      <c r="M39" s="195"/>
      <c r="N39" s="143"/>
      <c r="O39" s="26"/>
      <c r="P39" s="26"/>
      <c r="Q39" s="35"/>
      <c r="R39" s="36">
        <f>MAX(R38,R37)</f>
        <v>0.62</v>
      </c>
      <c r="S39" s="27"/>
    </row>
    <row r="40" spans="1:19" ht="15.75">
      <c r="A40" s="249" t="s">
        <v>59</v>
      </c>
      <c r="B40" s="147" t="s">
        <v>49</v>
      </c>
      <c r="C40" s="145">
        <f>E21/C39*100000</f>
        <v>1406.5872772401485</v>
      </c>
      <c r="D40" s="220" t="s">
        <v>26</v>
      </c>
      <c r="E40" s="221" t="str">
        <f>IF(C40&lt;=E23,"fb &lt; Fb  O.K ","N.G")</f>
        <v xml:space="preserve">fb &lt; Fb  O.K </v>
      </c>
      <c r="F40" s="143"/>
      <c r="G40" s="18" t="s">
        <v>313</v>
      </c>
      <c r="H40" s="227">
        <f>C40/E23</f>
        <v>0.97679672030565867</v>
      </c>
      <c r="I40" s="43" t="str">
        <f>IF(H40&lt;=1,"     &lt;1   O.K","N.G")</f>
        <v xml:space="preserve">     &lt;1   O.K</v>
      </c>
      <c r="J40" s="59"/>
      <c r="K40" s="143"/>
      <c r="L40" s="252"/>
      <c r="M40" s="143"/>
      <c r="N40" s="146"/>
      <c r="O40" s="26"/>
      <c r="P40" s="26"/>
      <c r="Q40" s="35" t="s">
        <v>13</v>
      </c>
      <c r="R40" s="36">
        <f>IF(H17=1,C3,IF(H17=2,C4,IF(H17=3,C5,IF(H17=4,C6,IF(H17=5,C7,IF(H17=6,C8,IF(H17=7,C9,C10)))))))</f>
        <v>22</v>
      </c>
      <c r="S40" s="27"/>
    </row>
    <row r="41" spans="1:19" ht="15">
      <c r="A41" s="246"/>
      <c r="B41" s="2"/>
      <c r="C41" s="2"/>
      <c r="D41" s="2"/>
      <c r="E41" s="2"/>
      <c r="F41" s="143"/>
      <c r="G41" s="143"/>
      <c r="H41" s="143"/>
      <c r="I41" s="143"/>
      <c r="J41" s="143"/>
      <c r="K41" s="143"/>
      <c r="L41" s="252"/>
      <c r="M41" s="143"/>
      <c r="N41" s="143"/>
      <c r="O41" s="26"/>
      <c r="P41" s="26"/>
      <c r="Q41" s="35"/>
      <c r="R41" s="36">
        <f>IF(H17=9,C11,IF(H17=10,C12,IF(H17=11,C13,IF(H17=12,C14,IF(H17=13,C15)))))</f>
        <v>24</v>
      </c>
      <c r="S41" s="27"/>
    </row>
    <row r="42" spans="1:19" ht="18.75">
      <c r="A42" s="251" t="s">
        <v>206</v>
      </c>
      <c r="B42" s="2"/>
      <c r="C42" s="2"/>
      <c r="D42" s="2"/>
      <c r="E42" s="2"/>
      <c r="F42" s="143"/>
      <c r="G42" s="2"/>
      <c r="H42" s="349"/>
      <c r="I42" s="350"/>
      <c r="J42" s="351" t="str">
        <f>IF(OR($D$32=0)," ","طول ورق تقویتی ")</f>
        <v xml:space="preserve">طول ورق تقویتی </v>
      </c>
      <c r="K42" s="352"/>
      <c r="L42" s="252"/>
      <c r="M42" s="143"/>
      <c r="N42" s="143"/>
      <c r="O42" s="26"/>
      <c r="P42" s="26"/>
      <c r="Q42" s="36"/>
      <c r="R42" s="36">
        <f>MAX(R41,R40)</f>
        <v>24</v>
      </c>
      <c r="S42" s="27"/>
    </row>
    <row r="43" spans="1:19" ht="15.75">
      <c r="A43" s="165"/>
      <c r="B43" s="2"/>
      <c r="C43" s="2"/>
      <c r="D43" s="2"/>
      <c r="E43" s="2"/>
      <c r="F43" s="2"/>
      <c r="G43" s="2"/>
      <c r="H43" s="143"/>
      <c r="I43" s="162" t="str">
        <f>IF(OR($D$32=0)," ","   L'=((Sx-S)/Sx)^.5*L= ")</f>
        <v xml:space="preserve">   L'=((Sx-S)/Sx)^.5*L= </v>
      </c>
      <c r="J43" s="143"/>
      <c r="K43" s="162">
        <f>IF(OR($D$32=0)," ",((C39-C30)/C39)^0.5*B23/100)</f>
        <v>6.6386897570263503</v>
      </c>
      <c r="L43" s="255" t="str">
        <f>IF(OR($D$32=0)," ","m ")</f>
        <v xml:space="preserve">m </v>
      </c>
      <c r="M43" s="143"/>
      <c r="N43" s="143"/>
      <c r="O43" s="35" t="s">
        <v>53</v>
      </c>
      <c r="P43" s="222">
        <f>D32*H32</f>
        <v>45</v>
      </c>
      <c r="Q43" s="236" t="s">
        <v>54</v>
      </c>
      <c r="R43" s="237">
        <f>G30/2+H32/2</f>
        <v>12.75</v>
      </c>
    </row>
    <row r="44" spans="1:19" ht="15.75">
      <c r="A44" s="246"/>
      <c r="B44" s="149" t="s">
        <v>34</v>
      </c>
      <c r="C44" s="229">
        <f>C39*H23*B21*0.00001</f>
        <v>23.904666666666667</v>
      </c>
      <c r="D44" s="147" t="s">
        <v>35</v>
      </c>
      <c r="E44" s="226" t="str">
        <f>IF(C40&lt;E23,"GOOD","N.G.")</f>
        <v>GOOD</v>
      </c>
      <c r="F44" s="2"/>
      <c r="G44" s="2"/>
      <c r="H44" s="143"/>
      <c r="I44" s="143"/>
      <c r="J44" s="172" t="str">
        <f>IF(OR($D$32=0)," ","Lpl= ")</f>
        <v xml:space="preserve">Lpl= </v>
      </c>
      <c r="K44" s="238">
        <f>IF(OR($D$32=0)," ",ROUND(K43,1))</f>
        <v>6.6</v>
      </c>
      <c r="L44" s="255" t="str">
        <f>IF(OR($D$32=0)," ","m ")</f>
        <v xml:space="preserve">m </v>
      </c>
      <c r="M44" s="143"/>
      <c r="N44" s="143"/>
      <c r="O44" s="35" t="s">
        <v>55</v>
      </c>
      <c r="P44" s="222">
        <f>D33*H33</f>
        <v>0</v>
      </c>
      <c r="Q44" s="236" t="s">
        <v>56</v>
      </c>
      <c r="R44" s="237">
        <f>G30/2+H32+H33/2</f>
        <v>13.5</v>
      </c>
    </row>
    <row r="45" spans="1:19" ht="15.75">
      <c r="A45" s="165"/>
      <c r="B45" s="2"/>
      <c r="C45" s="233" t="str">
        <f>IF(E40&lt;=G23,"fb &lt; Fb  O.K ","N.G")</f>
        <v xml:space="preserve">fb &lt; Fb  O.K </v>
      </c>
      <c r="D45" s="2"/>
      <c r="F45" s="2"/>
      <c r="G45" s="143"/>
      <c r="H45" s="143"/>
      <c r="I45" s="143"/>
      <c r="J45" s="143"/>
      <c r="K45" s="227" t="str">
        <f>IF(OR($D$32=0)," ",CONCATENATE(ROUND(10000*K44/B23,0),"%"))</f>
        <v>89%</v>
      </c>
      <c r="L45" s="248"/>
      <c r="M45" s="143"/>
      <c r="N45" s="143"/>
      <c r="O45" s="35" t="s">
        <v>58</v>
      </c>
      <c r="P45" s="36">
        <f>G30/2+H32+H33</f>
        <v>13.5</v>
      </c>
      <c r="Q45" s="27"/>
      <c r="R45" s="139"/>
    </row>
    <row r="46" spans="1:19" ht="15">
      <c r="A46" s="165"/>
      <c r="B46" s="2"/>
      <c r="C46" s="2"/>
      <c r="D46" s="2"/>
      <c r="E46" s="2"/>
      <c r="F46" s="2"/>
      <c r="G46" s="143"/>
      <c r="H46" s="143"/>
      <c r="I46" s="143"/>
      <c r="J46" s="143"/>
      <c r="K46" s="143"/>
      <c r="L46" s="252"/>
      <c r="M46" s="143"/>
      <c r="N46" s="143"/>
      <c r="O46" s="26"/>
      <c r="P46" s="26"/>
      <c r="S46" s="27"/>
    </row>
    <row r="47" spans="1:19" ht="15">
      <c r="A47" s="251" t="s">
        <v>60</v>
      </c>
      <c r="B47" s="149"/>
      <c r="C47" s="225"/>
      <c r="D47" s="2"/>
      <c r="E47" s="2"/>
      <c r="F47" s="2"/>
      <c r="G47" s="2"/>
      <c r="H47" s="2"/>
      <c r="I47" s="2"/>
      <c r="J47" s="2"/>
      <c r="K47" s="2"/>
      <c r="L47" s="247"/>
      <c r="M47" s="143"/>
      <c r="N47" s="143"/>
      <c r="O47" s="26"/>
      <c r="P47" s="26"/>
      <c r="Q47" s="36"/>
      <c r="R47" s="36"/>
      <c r="S47" s="27"/>
    </row>
    <row r="48" spans="1:19" ht="15">
      <c r="A48" s="246"/>
      <c r="B48" s="143"/>
      <c r="C48" s="143"/>
      <c r="D48" s="143"/>
      <c r="E48" s="2"/>
      <c r="F48" s="143"/>
      <c r="G48" s="143"/>
      <c r="H48" s="143"/>
      <c r="I48" s="143"/>
      <c r="J48" s="143"/>
      <c r="K48" s="143"/>
      <c r="L48" s="252"/>
      <c r="M48" s="143"/>
      <c r="N48" s="143"/>
      <c r="O48" s="26"/>
      <c r="P48" s="26"/>
      <c r="Q48" s="36"/>
      <c r="R48" s="36"/>
      <c r="S48" s="27"/>
    </row>
    <row r="49" spans="1:19" ht="15">
      <c r="A49" s="249" t="s">
        <v>61</v>
      </c>
      <c r="B49" s="147" t="s">
        <v>210</v>
      </c>
      <c r="C49" s="145">
        <f>0.4*B21</f>
        <v>960</v>
      </c>
      <c r="D49" s="220" t="s">
        <v>26</v>
      </c>
      <c r="E49" s="2"/>
      <c r="F49" s="143"/>
      <c r="G49" s="143"/>
      <c r="H49" s="149"/>
      <c r="I49" s="2"/>
      <c r="J49" s="228"/>
      <c r="K49" s="143"/>
      <c r="L49" s="252"/>
      <c r="M49" s="143"/>
      <c r="N49" s="143"/>
      <c r="O49" s="26"/>
      <c r="P49" s="26"/>
      <c r="Q49" s="36"/>
      <c r="R49" s="36"/>
      <c r="S49" s="27"/>
    </row>
    <row r="50" spans="1:19" ht="15">
      <c r="A50" s="250" t="s">
        <v>207</v>
      </c>
      <c r="B50" s="7"/>
      <c r="C50" s="145">
        <f>(C49*G30*G29*F17)</f>
        <v>28569.599999999999</v>
      </c>
      <c r="D50" s="147" t="s">
        <v>69</v>
      </c>
      <c r="E50" s="2"/>
      <c r="F50" s="143"/>
      <c r="G50" s="143"/>
      <c r="H50" s="149"/>
      <c r="I50" s="226"/>
      <c r="J50" s="229"/>
      <c r="K50" s="143"/>
      <c r="L50" s="252"/>
      <c r="M50" s="143"/>
      <c r="N50" s="143"/>
      <c r="O50" s="26"/>
      <c r="P50" s="26"/>
      <c r="Q50" s="36"/>
      <c r="R50" s="36"/>
      <c r="S50" s="27"/>
    </row>
    <row r="51" spans="1:19" ht="15">
      <c r="A51" s="249" t="s">
        <v>62</v>
      </c>
      <c r="B51" s="143" t="s">
        <v>63</v>
      </c>
      <c r="C51" s="226">
        <f>E22/(F17*G29*G30)*1000</f>
        <v>462.02956989247315</v>
      </c>
      <c r="D51" s="220" t="s">
        <v>26</v>
      </c>
      <c r="E51" s="2"/>
      <c r="F51" s="226" t="str">
        <f>IF(C49&gt;=C51,"fv &lt; Fv  O.K ","N.G.")</f>
        <v xml:space="preserve">fv &lt; Fv  O.K </v>
      </c>
      <c r="G51" s="143"/>
      <c r="H51" s="149"/>
      <c r="I51" s="226"/>
      <c r="J51" s="2"/>
      <c r="K51" s="229"/>
      <c r="L51" s="252"/>
      <c r="M51" s="143"/>
      <c r="N51" s="143"/>
      <c r="O51" s="26"/>
      <c r="P51" s="26"/>
      <c r="Q51" s="36"/>
      <c r="R51" s="36"/>
      <c r="S51" s="27"/>
    </row>
    <row r="52" spans="1:19" ht="15">
      <c r="A52" s="246"/>
      <c r="B52" s="2"/>
      <c r="C52" s="2"/>
      <c r="D52" s="2"/>
      <c r="E52" s="2"/>
      <c r="F52" s="2"/>
      <c r="G52" s="143"/>
      <c r="H52" s="143"/>
      <c r="I52" s="143"/>
      <c r="J52" s="143"/>
      <c r="K52" s="274"/>
      <c r="L52" s="247"/>
      <c r="M52" s="143"/>
      <c r="N52" s="143"/>
      <c r="O52" s="26"/>
      <c r="P52" s="26"/>
      <c r="Q52" s="36"/>
      <c r="R52" s="36"/>
      <c r="S52" s="27"/>
    </row>
    <row r="53" spans="1:19" ht="15">
      <c r="A53" s="251" t="s">
        <v>64</v>
      </c>
      <c r="B53" s="2"/>
      <c r="C53" s="2"/>
      <c r="D53" s="2"/>
      <c r="E53" s="143"/>
      <c r="F53" s="143"/>
      <c r="G53" s="2"/>
      <c r="H53" s="2"/>
      <c r="I53" s="2"/>
      <c r="J53" s="143"/>
      <c r="K53" s="143"/>
      <c r="L53" s="252"/>
      <c r="M53" s="2"/>
      <c r="N53" s="143"/>
      <c r="O53" s="26"/>
      <c r="P53" s="26"/>
      <c r="Q53" s="36"/>
      <c r="R53" s="36"/>
      <c r="S53" s="27"/>
    </row>
    <row r="54" spans="1:19" ht="15">
      <c r="A54" s="250"/>
      <c r="B54" s="2"/>
      <c r="C54" s="2"/>
      <c r="D54" s="2"/>
      <c r="E54" s="2"/>
      <c r="F54" s="143"/>
      <c r="G54" s="143"/>
      <c r="H54" s="143"/>
      <c r="I54" s="143"/>
      <c r="J54" s="143"/>
      <c r="K54" s="143"/>
      <c r="L54" s="252"/>
      <c r="M54" s="143"/>
      <c r="N54" s="143"/>
      <c r="O54" s="26"/>
      <c r="P54" s="26"/>
      <c r="Q54" s="36"/>
      <c r="R54" s="36"/>
      <c r="S54" s="27"/>
    </row>
    <row r="55" spans="1:19" ht="15">
      <c r="A55" s="253" t="s">
        <v>208</v>
      </c>
      <c r="B55" s="149"/>
      <c r="C55" s="143"/>
      <c r="D55" s="148">
        <f>(5*(H21+H22)*10*B23^4)/(384*B38*B22)</f>
        <v>2.8622758789211642</v>
      </c>
      <c r="E55" s="145" t="str">
        <f>IF(D55&lt;G55,"&lt;","&gt;")</f>
        <v>&lt;</v>
      </c>
      <c r="F55" s="143" t="s">
        <v>65</v>
      </c>
      <c r="G55" s="148">
        <f>B23/240</f>
        <v>3.0833333333333335</v>
      </c>
      <c r="H55" s="232" t="str">
        <f>IF(E55="&lt;","O.K","N.G.")</f>
        <v>O.K</v>
      </c>
      <c r="I55" s="143"/>
      <c r="J55" s="2"/>
      <c r="K55" s="143"/>
      <c r="L55" s="252"/>
      <c r="M55" s="143"/>
      <c r="N55" s="143"/>
      <c r="O55" s="26"/>
      <c r="P55" s="26"/>
      <c r="Q55" s="36"/>
      <c r="R55" s="36"/>
      <c r="S55" s="27"/>
    </row>
    <row r="56" spans="1:19" ht="15">
      <c r="A56" s="250"/>
      <c r="B56" s="143"/>
      <c r="C56" s="143"/>
      <c r="D56" s="143"/>
      <c r="E56" s="143"/>
      <c r="F56" s="143"/>
      <c r="G56" s="226"/>
      <c r="H56" s="234"/>
      <c r="I56" s="143"/>
      <c r="J56" s="143"/>
      <c r="K56" s="143"/>
      <c r="L56" s="252"/>
      <c r="M56" s="143"/>
      <c r="N56" s="143"/>
      <c r="O56" s="26"/>
      <c r="P56" s="26"/>
      <c r="Q56" s="36"/>
      <c r="R56" s="36"/>
      <c r="S56" s="27"/>
    </row>
    <row r="57" spans="1:19" ht="15">
      <c r="A57" s="253" t="s">
        <v>67</v>
      </c>
      <c r="B57" s="143"/>
      <c r="C57" s="143"/>
      <c r="D57" s="148">
        <f>(5*H22*10*B23^4)/(384*B38*B22)</f>
        <v>0.57245517578423288</v>
      </c>
      <c r="E57" s="145" t="str">
        <f>IF(D57&lt;G57,"&lt;","&gt;")</f>
        <v>&lt;</v>
      </c>
      <c r="F57" s="143" t="s">
        <v>68</v>
      </c>
      <c r="G57" s="148">
        <f>B23/360</f>
        <v>2.0555555555555554</v>
      </c>
      <c r="H57" s="232" t="str">
        <f>IF(E57="&lt;","O.K","N.G.")</f>
        <v>O.K</v>
      </c>
      <c r="I57" s="143"/>
      <c r="J57" s="143"/>
      <c r="K57" s="143"/>
      <c r="L57" s="252"/>
      <c r="M57" s="143"/>
      <c r="N57" s="143"/>
      <c r="O57" s="26"/>
      <c r="P57" s="26"/>
      <c r="Q57" s="36"/>
      <c r="R57" s="36"/>
      <c r="S57" s="27"/>
    </row>
    <row r="58" spans="1:19" ht="15">
      <c r="A58" s="165"/>
      <c r="B58" s="2"/>
      <c r="C58" s="2"/>
      <c r="D58" s="2"/>
      <c r="E58" s="2"/>
      <c r="F58" s="2"/>
      <c r="G58" s="2"/>
      <c r="H58" s="2"/>
      <c r="I58" s="2"/>
      <c r="J58" s="143"/>
      <c r="K58" s="143"/>
      <c r="L58" s="252"/>
      <c r="M58" s="143"/>
      <c r="N58" s="143"/>
      <c r="O58" s="26"/>
      <c r="P58" s="26"/>
      <c r="Q58" s="36"/>
      <c r="R58" s="36"/>
      <c r="S58" s="27"/>
    </row>
    <row r="59" spans="1:19" ht="15">
      <c r="A59" s="165"/>
      <c r="B59" s="230">
        <f>F17</f>
        <v>2</v>
      </c>
      <c r="C59" s="235" t="s">
        <v>71</v>
      </c>
      <c r="D59" s="235">
        <f>R30</f>
        <v>240</v>
      </c>
      <c r="E59" s="231" t="str">
        <f>IF(OR($D$32=0,$H$32=0)," "," +2 PLATE")</f>
        <v xml:space="preserve"> +2 PLATE</v>
      </c>
      <c r="F59" s="230"/>
      <c r="G59" s="230" t="str">
        <f>IF(OR($D$32=0,$H$32=0)," ",CONCATENATE(D32*10," X ",H32*10))</f>
        <v>300 X 15</v>
      </c>
      <c r="H59" s="231" t="str">
        <f>IF(OR($D$33=0,$H$33=0)," "," +2 PLATE")</f>
        <v xml:space="preserve"> </v>
      </c>
      <c r="I59" s="276"/>
      <c r="J59" s="231" t="str">
        <f>IF(OR($D$33=0,$H$33=0)," ",CONCATENATE(D33*10," X ",H33*10))</f>
        <v xml:space="preserve"> </v>
      </c>
      <c r="K59" s="5"/>
      <c r="L59" s="252"/>
      <c r="M59" s="143"/>
      <c r="N59" s="147"/>
      <c r="O59" s="26"/>
      <c r="P59" s="26"/>
      <c r="Q59" s="36"/>
      <c r="R59" s="36"/>
      <c r="S59" s="27"/>
    </row>
    <row r="60" spans="1:19" ht="15.75" thickBot="1">
      <c r="A60" s="256"/>
      <c r="B60" s="257"/>
      <c r="C60" s="257"/>
      <c r="D60" s="257"/>
      <c r="E60" s="257"/>
      <c r="F60" s="257"/>
      <c r="G60" s="257"/>
      <c r="H60" s="257"/>
      <c r="I60" s="257"/>
      <c r="J60" s="258"/>
      <c r="K60" s="258"/>
      <c r="L60" s="259"/>
      <c r="M60" s="143"/>
      <c r="N60" s="143"/>
      <c r="O60" s="26"/>
      <c r="P60" s="26"/>
      <c r="Q60" s="36"/>
      <c r="R60" s="36"/>
      <c r="S60" s="27"/>
    </row>
    <row r="61" spans="1:19" ht="15.75" thickTop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43"/>
      <c r="N61" s="143"/>
      <c r="O61" s="26"/>
      <c r="P61" s="26"/>
      <c r="Q61" s="36"/>
      <c r="R61" s="36"/>
      <c r="S61" s="27"/>
    </row>
    <row r="62" spans="1:19" ht="15">
      <c r="A62" s="6"/>
      <c r="B62" s="220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26"/>
      <c r="P62" s="26"/>
      <c r="Q62" s="36"/>
      <c r="R62" s="36"/>
      <c r="S62" s="27"/>
    </row>
  </sheetData>
  <mergeCells count="1">
    <mergeCell ref="N18:P18"/>
  </mergeCells>
  <phoneticPr fontId="8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8:T103"/>
  <sheetViews>
    <sheetView zoomScaleNormal="100" workbookViewId="0">
      <selection sqref="A1:XFD1048576"/>
    </sheetView>
  </sheetViews>
  <sheetFormatPr defaultRowHeight="12.75"/>
  <sheetData>
    <row r="8" spans="3:18" ht="15.75"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281"/>
      <c r="N8" s="281"/>
      <c r="O8" s="3"/>
      <c r="P8" s="3"/>
      <c r="Q8" s="6"/>
      <c r="R8" s="5"/>
    </row>
    <row r="9" spans="3:18" ht="20.100000000000001" customHeight="1">
      <c r="C9" s="551" t="s">
        <v>376</v>
      </c>
      <c r="D9" s="551"/>
      <c r="E9" s="551"/>
      <c r="F9" s="551"/>
      <c r="G9" s="551"/>
      <c r="H9" s="551"/>
      <c r="I9" s="551"/>
      <c r="J9" s="551"/>
      <c r="K9" s="551"/>
      <c r="L9" s="185"/>
      <c r="M9" s="281"/>
      <c r="N9" s="281"/>
      <c r="O9" s="3"/>
      <c r="P9" s="3"/>
      <c r="Q9" s="6"/>
      <c r="R9" s="5"/>
    </row>
    <row r="10" spans="3:18" s="4" customFormat="1" ht="20.100000000000001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23"/>
      <c r="M10" s="194"/>
      <c r="N10" s="194"/>
      <c r="O10" s="266"/>
      <c r="P10" s="266"/>
      <c r="Q10" s="206"/>
      <c r="R10" s="8"/>
    </row>
    <row r="11" spans="3:18" ht="20.100000000000001" customHeight="1">
      <c r="C11" s="185"/>
      <c r="D11" s="535" t="s">
        <v>241</v>
      </c>
      <c r="E11" s="6"/>
      <c r="F11" s="6"/>
      <c r="G11" s="6"/>
      <c r="H11" s="466" t="s">
        <v>382</v>
      </c>
      <c r="I11" s="6"/>
      <c r="J11" s="5"/>
      <c r="K11" s="5"/>
      <c r="L11" s="185"/>
      <c r="M11" s="281"/>
      <c r="N11" s="281"/>
      <c r="O11" s="3"/>
      <c r="P11" s="3"/>
      <c r="Q11" s="6"/>
      <c r="R11" s="5"/>
    </row>
    <row r="12" spans="3:18" ht="12" customHeight="1">
      <c r="C12" s="185"/>
      <c r="D12" s="5"/>
      <c r="E12" s="5"/>
      <c r="F12" s="5"/>
      <c r="G12" s="5"/>
      <c r="H12" s="5"/>
      <c r="I12" s="5"/>
      <c r="J12" s="5"/>
      <c r="K12" s="5"/>
      <c r="L12" s="185"/>
      <c r="M12" s="281"/>
      <c r="N12" s="281"/>
      <c r="O12" s="3"/>
      <c r="P12" s="3"/>
      <c r="Q12" s="3"/>
    </row>
    <row r="13" spans="3:18" ht="20.100000000000001" customHeight="1">
      <c r="C13" s="185"/>
      <c r="D13" s="185"/>
      <c r="E13" s="172" t="s">
        <v>211</v>
      </c>
      <c r="F13" s="315">
        <v>210</v>
      </c>
      <c r="G13" s="185" t="s">
        <v>194</v>
      </c>
      <c r="H13" s="185"/>
      <c r="I13" s="185"/>
      <c r="J13" s="185"/>
      <c r="K13" s="185"/>
      <c r="L13" s="185"/>
      <c r="M13" s="281"/>
      <c r="N13" s="281"/>
      <c r="O13" s="3"/>
      <c r="P13" s="3"/>
      <c r="Q13" s="3"/>
    </row>
    <row r="14" spans="3:18" ht="20.100000000000001" customHeight="1">
      <c r="C14" s="185"/>
      <c r="D14" s="185"/>
      <c r="E14" s="172" t="s">
        <v>119</v>
      </c>
      <c r="F14" s="315">
        <v>2400</v>
      </c>
      <c r="G14" s="185" t="s">
        <v>194</v>
      </c>
      <c r="H14" s="185"/>
      <c r="I14" s="6"/>
      <c r="J14" s="6"/>
      <c r="K14" s="185"/>
      <c r="L14" s="185"/>
      <c r="M14" s="281"/>
      <c r="N14" s="281"/>
      <c r="O14" s="3"/>
      <c r="P14" s="3"/>
      <c r="Q14" s="3"/>
    </row>
    <row r="15" spans="3:18" ht="20.100000000000001" customHeight="1">
      <c r="C15" s="185"/>
      <c r="D15" s="185"/>
      <c r="E15" s="185" t="s">
        <v>377</v>
      </c>
      <c r="F15" s="227">
        <f>0.6*F13</f>
        <v>126</v>
      </c>
      <c r="G15" s="185" t="s">
        <v>194</v>
      </c>
      <c r="H15" s="185"/>
      <c r="I15" s="185"/>
      <c r="J15" s="185"/>
      <c r="K15" s="185"/>
      <c r="L15" s="185"/>
      <c r="M15" s="281"/>
      <c r="N15" s="281"/>
      <c r="O15" s="3"/>
      <c r="P15" s="3"/>
      <c r="Q15" s="3"/>
    </row>
    <row r="16" spans="3:18" ht="20.100000000000001" customHeight="1">
      <c r="C16" s="185"/>
      <c r="D16" s="185"/>
      <c r="E16" s="172" t="s">
        <v>113</v>
      </c>
      <c r="F16" s="315">
        <v>49.1</v>
      </c>
      <c r="G16" s="185" t="s">
        <v>27</v>
      </c>
      <c r="H16" s="185"/>
      <c r="I16" s="185"/>
      <c r="J16" s="185"/>
      <c r="K16" s="185"/>
      <c r="L16" s="185"/>
      <c r="M16" s="281"/>
      <c r="N16" s="281"/>
      <c r="O16" s="3"/>
      <c r="P16" s="3"/>
      <c r="Q16" s="3"/>
    </row>
    <row r="17" spans="3:20" ht="20.100000000000001" customHeight="1">
      <c r="C17" s="185"/>
      <c r="D17" s="185"/>
      <c r="E17" s="172" t="s">
        <v>148</v>
      </c>
      <c r="F17" s="315">
        <v>45</v>
      </c>
      <c r="G17" s="185" t="s">
        <v>24</v>
      </c>
      <c r="H17" s="185"/>
      <c r="I17" s="185"/>
      <c r="J17" s="185"/>
      <c r="K17" s="185"/>
      <c r="L17" s="185"/>
      <c r="M17" s="281"/>
      <c r="N17" s="281"/>
      <c r="O17" s="3"/>
      <c r="P17" s="3"/>
      <c r="Q17" s="3"/>
    </row>
    <row r="18" spans="3:20" ht="20.100000000000001" customHeight="1">
      <c r="C18" s="185"/>
      <c r="D18" s="185"/>
      <c r="E18" s="172" t="s">
        <v>212</v>
      </c>
      <c r="F18" s="532">
        <v>45</v>
      </c>
      <c r="G18" s="185" t="s">
        <v>24</v>
      </c>
      <c r="H18" s="5"/>
      <c r="I18" s="5"/>
      <c r="J18" s="5"/>
      <c r="K18" s="5"/>
      <c r="L18" s="185"/>
      <c r="M18" s="281"/>
      <c r="N18" s="281"/>
      <c r="O18" s="3"/>
      <c r="P18" s="3"/>
      <c r="Q18" s="3"/>
    </row>
    <row r="19" spans="3:20" ht="10.5" customHeight="1">
      <c r="C19" s="185"/>
      <c r="D19" s="185"/>
      <c r="E19" s="5"/>
      <c r="F19" s="5"/>
      <c r="G19" s="5"/>
      <c r="H19" s="5"/>
      <c r="I19" s="5"/>
      <c r="J19" s="5"/>
      <c r="K19" s="5"/>
      <c r="L19" s="185"/>
      <c r="P19" s="318"/>
      <c r="Q19" s="3"/>
    </row>
    <row r="20" spans="3:20" ht="20.100000000000001" customHeight="1">
      <c r="C20" s="185"/>
      <c r="D20" s="185"/>
      <c r="E20" s="172" t="s">
        <v>374</v>
      </c>
      <c r="F20" s="227">
        <f>F17*F18</f>
        <v>2025</v>
      </c>
      <c r="G20" s="185" t="s">
        <v>213</v>
      </c>
      <c r="H20" s="5"/>
      <c r="I20" s="185"/>
      <c r="J20" s="185"/>
      <c r="K20" s="185"/>
      <c r="L20" s="185"/>
      <c r="M20" s="185"/>
      <c r="N20" s="185"/>
      <c r="O20" s="185"/>
      <c r="S20" s="318"/>
      <c r="T20" s="3"/>
    </row>
    <row r="21" spans="3:20" ht="20.100000000000001" customHeight="1">
      <c r="C21" s="185"/>
      <c r="D21" s="185"/>
      <c r="E21" s="172" t="s">
        <v>214</v>
      </c>
      <c r="F21" s="227">
        <f>F16*1000/F20</f>
        <v>24.246913580246915</v>
      </c>
      <c r="G21" s="185" t="s">
        <v>194</v>
      </c>
      <c r="H21" s="316" t="str">
        <f>IF(F21&lt;F15,"fp&lt;Fp  O.K", "fp&gt;Fp  N.G")</f>
        <v>fp&lt;Fp  O.K</v>
      </c>
      <c r="I21" s="5"/>
      <c r="J21" s="185"/>
      <c r="K21" s="185"/>
      <c r="L21" s="185"/>
      <c r="M21" s="185"/>
      <c r="N21" s="185"/>
      <c r="O21" s="185"/>
      <c r="P21" s="172" t="s">
        <v>215</v>
      </c>
      <c r="Q21" s="317">
        <f>IF(F25=1,E97,IF(F25=1.1,F97,IF(F25=1.2,G97,IF(F25=1.3,H97,IF(F25=1.4,I97,IF(F25=1.5,J97,IF(F25=1.6,K97,IF(F25=1.7,L97))))))))</f>
        <v>5.5E-2</v>
      </c>
      <c r="R21" s="317" t="b">
        <f>IF(F25=1.8,M97,IF(F25=1.9,N97,IF(F25=2,O97,IF(F25&gt;2,P97))))</f>
        <v>0</v>
      </c>
      <c r="S21" s="318"/>
      <c r="T21" s="3"/>
    </row>
    <row r="22" spans="3:20" ht="12.75" customHeight="1"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72" t="s">
        <v>216</v>
      </c>
      <c r="Q22" s="319">
        <f>IF(F25=1,E98,IF(F25=1.1,F98,IF(F25=1.2,G98,IF(F25=1.3,H98,IF(F25=1.4,I98,IF(F25=1.5,J98,IF(F25=1.6,K98,IF(F25=1.7,L98))))))))</f>
        <v>4.9000000000000002E-2</v>
      </c>
      <c r="R22" s="317" t="b">
        <f>IF(F25=1.8,M98,IF(F25=1.9,N98,IF(F25=2,O98,IF(F25&gt;2,P98))))</f>
        <v>0</v>
      </c>
      <c r="S22" s="3"/>
      <c r="T22" s="3"/>
    </row>
    <row r="23" spans="3:20" ht="20.100000000000001" customHeight="1">
      <c r="C23" s="185"/>
      <c r="D23" s="185"/>
      <c r="E23" s="172" t="s">
        <v>217</v>
      </c>
      <c r="F23" s="315">
        <v>15</v>
      </c>
      <c r="G23" s="185" t="s">
        <v>24</v>
      </c>
      <c r="H23" s="162" t="s">
        <v>218</v>
      </c>
      <c r="I23" s="172" t="s">
        <v>215</v>
      </c>
      <c r="J23" s="227">
        <f>MAX(Q21,R21)</f>
        <v>5.5E-2</v>
      </c>
      <c r="K23" s="185"/>
      <c r="L23" s="185"/>
      <c r="M23" s="281"/>
      <c r="N23" s="281"/>
      <c r="O23" s="3"/>
      <c r="P23" s="3"/>
      <c r="Q23" s="3"/>
    </row>
    <row r="24" spans="3:20" ht="20.100000000000001" customHeight="1">
      <c r="C24" s="185"/>
      <c r="D24" s="185"/>
      <c r="E24" s="172" t="s">
        <v>135</v>
      </c>
      <c r="F24" s="315">
        <v>14</v>
      </c>
      <c r="G24" s="185" t="s">
        <v>24</v>
      </c>
      <c r="H24" s="162"/>
      <c r="I24" s="172" t="s">
        <v>216</v>
      </c>
      <c r="J24" s="227">
        <f>MAX(Q22,R22)</f>
        <v>4.9000000000000002E-2</v>
      </c>
      <c r="K24" s="185"/>
      <c r="L24" s="185"/>
      <c r="M24" s="281"/>
      <c r="N24" s="281"/>
      <c r="O24" s="3"/>
      <c r="P24" s="550"/>
      <c r="Q24" s="550"/>
    </row>
    <row r="25" spans="3:20" ht="20.100000000000001" customHeight="1">
      <c r="C25" s="185"/>
      <c r="D25" s="185"/>
      <c r="E25" s="172" t="s">
        <v>219</v>
      </c>
      <c r="F25" s="320">
        <f>ROUND((F23/F24),1)</f>
        <v>1.1000000000000001</v>
      </c>
      <c r="G25" s="321"/>
      <c r="H25" s="185"/>
      <c r="I25" s="185"/>
      <c r="J25" s="185"/>
      <c r="K25" s="185"/>
      <c r="L25" s="185"/>
      <c r="M25" s="3"/>
      <c r="N25" s="3"/>
      <c r="O25" s="3"/>
      <c r="P25" s="550"/>
      <c r="Q25" s="550"/>
      <c r="R25" s="5"/>
      <c r="S25" s="5"/>
      <c r="T25" s="5"/>
    </row>
    <row r="26" spans="3:20" ht="11.25" customHeight="1">
      <c r="C26" s="185"/>
      <c r="D26" s="185"/>
      <c r="E26" s="23"/>
      <c r="F26" s="23"/>
      <c r="G26" s="23"/>
      <c r="H26" s="23"/>
      <c r="I26" s="185"/>
      <c r="J26" s="185"/>
      <c r="K26" s="185"/>
      <c r="L26" s="185"/>
      <c r="M26" s="3"/>
      <c r="N26" s="3"/>
      <c r="O26" s="3"/>
      <c r="P26" s="3"/>
      <c r="Q26" s="3"/>
      <c r="R26" s="5"/>
      <c r="S26" s="5"/>
      <c r="T26" s="5"/>
    </row>
    <row r="27" spans="3:20" ht="20.100000000000001" customHeight="1">
      <c r="C27" s="185"/>
      <c r="D27" s="185"/>
      <c r="E27" s="172" t="s">
        <v>220</v>
      </c>
      <c r="F27" s="180" t="s">
        <v>221</v>
      </c>
      <c r="G27" s="18">
        <f>J23*F21*(F24)^2</f>
        <v>261.38172839506171</v>
      </c>
      <c r="H27" s="6"/>
      <c r="I27" s="180"/>
      <c r="J27" s="180"/>
      <c r="K27" s="185"/>
      <c r="L27" s="185"/>
      <c r="M27" s="281"/>
      <c r="N27" s="281"/>
      <c r="O27" s="3"/>
      <c r="P27" s="3"/>
      <c r="Q27" s="3"/>
      <c r="R27" s="5"/>
      <c r="S27" s="5"/>
      <c r="T27" s="5"/>
    </row>
    <row r="28" spans="3:20" ht="20.100000000000001" customHeight="1">
      <c r="C28" s="185"/>
      <c r="D28" s="185"/>
      <c r="E28" s="172" t="s">
        <v>222</v>
      </c>
      <c r="F28" s="180" t="s">
        <v>223</v>
      </c>
      <c r="G28" s="18">
        <f>J24*F21*(F23)^2</f>
        <v>267.32222222222225</v>
      </c>
      <c r="H28" s="6"/>
      <c r="I28" s="180"/>
      <c r="J28" s="180"/>
      <c r="K28" s="185"/>
      <c r="L28" s="185"/>
      <c r="M28" s="281"/>
      <c r="N28" s="281"/>
      <c r="O28" s="3"/>
      <c r="P28" s="3"/>
      <c r="Q28" s="3"/>
      <c r="R28" s="5"/>
      <c r="S28" s="5"/>
      <c r="T28" s="5"/>
    </row>
    <row r="29" spans="3:20" ht="12" customHeight="1">
      <c r="C29" s="185"/>
      <c r="D29" s="185"/>
      <c r="E29" s="23"/>
      <c r="F29" s="23"/>
      <c r="G29" s="23"/>
      <c r="H29" s="23"/>
      <c r="I29" s="185"/>
      <c r="J29" s="185"/>
      <c r="K29" s="185"/>
      <c r="L29" s="185"/>
      <c r="Q29" s="185"/>
      <c r="R29" s="185"/>
      <c r="S29" s="5"/>
      <c r="T29" s="5"/>
    </row>
    <row r="30" spans="3:20" ht="20.100000000000001" customHeight="1">
      <c r="C30" s="185"/>
      <c r="D30" s="185"/>
      <c r="E30" s="23" t="s">
        <v>224</v>
      </c>
      <c r="F30" s="18">
        <f>MAX(G27:G28)</f>
        <v>267.32222222222225</v>
      </c>
      <c r="G30" s="23"/>
      <c r="H30" s="23"/>
      <c r="I30" s="185"/>
      <c r="J30" s="185"/>
      <c r="K30" s="185"/>
      <c r="L30" s="185"/>
      <c r="M30" s="281"/>
      <c r="N30" s="281"/>
      <c r="O30" s="3"/>
      <c r="P30" s="3"/>
      <c r="Q30" s="3"/>
      <c r="R30" s="5"/>
      <c r="S30" s="5"/>
      <c r="T30" s="5"/>
    </row>
    <row r="31" spans="3:20" ht="20.100000000000001" customHeight="1"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281"/>
      <c r="N31" s="281"/>
      <c r="O31" s="3"/>
      <c r="P31" s="3"/>
      <c r="Q31" s="3"/>
      <c r="R31" s="5"/>
      <c r="S31" s="5"/>
      <c r="T31" s="5"/>
    </row>
    <row r="32" spans="3:20" ht="20.100000000000001" customHeight="1">
      <c r="C32" s="185"/>
      <c r="D32" s="185"/>
      <c r="E32" s="162" t="s">
        <v>225</v>
      </c>
      <c r="F32" s="162"/>
      <c r="G32" s="322">
        <f>(6*F30/(0.75*F14))^0.5</f>
        <v>0.94396719968125697</v>
      </c>
      <c r="H32" s="185" t="s">
        <v>24</v>
      </c>
      <c r="I32" s="172" t="s">
        <v>167</v>
      </c>
      <c r="J32" s="238">
        <v>1.2</v>
      </c>
      <c r="K32" s="185" t="s">
        <v>24</v>
      </c>
      <c r="L32" s="6"/>
      <c r="M32" s="281"/>
      <c r="N32" s="281"/>
      <c r="O32" s="3"/>
      <c r="P32" s="3"/>
      <c r="Q32" s="3"/>
      <c r="R32" s="5"/>
      <c r="S32" s="5"/>
      <c r="T32" s="5"/>
    </row>
    <row r="33" spans="1:17" ht="20.100000000000001" customHeight="1">
      <c r="C33" s="185"/>
      <c r="D33" s="6"/>
      <c r="E33" s="185"/>
      <c r="F33" s="323" t="str">
        <f>CONCATENATE(" USE PL  ",F17,"x",F18,"x",J32)</f>
        <v xml:space="preserve"> USE PL  45x45x1.2</v>
      </c>
      <c r="G33" s="324"/>
      <c r="H33" s="324"/>
      <c r="I33" s="227"/>
      <c r="J33" s="185"/>
      <c r="K33" s="185"/>
      <c r="L33" s="6"/>
      <c r="M33" s="281"/>
      <c r="N33" s="281"/>
      <c r="O33" s="3"/>
      <c r="P33" s="3"/>
      <c r="Q33" s="3"/>
    </row>
    <row r="34" spans="1:17" ht="20.100000000000001" customHeight="1">
      <c r="C34" s="185"/>
      <c r="D34" s="6"/>
      <c r="E34" s="185"/>
      <c r="F34" s="541"/>
      <c r="G34" s="18"/>
      <c r="H34" s="18"/>
      <c r="I34" s="227"/>
      <c r="J34" s="185"/>
      <c r="K34" s="185"/>
      <c r="L34" s="6"/>
      <c r="M34" s="281"/>
      <c r="N34" s="281"/>
      <c r="O34" s="3"/>
      <c r="P34" s="3"/>
      <c r="Q34" s="3"/>
    </row>
    <row r="35" spans="1:17">
      <c r="C35" s="5"/>
      <c r="D35" s="5"/>
      <c r="E35" s="5"/>
      <c r="F35" s="5"/>
      <c r="G35" s="5"/>
      <c r="H35" s="5"/>
      <c r="I35" s="5"/>
      <c r="J35" s="5"/>
      <c r="K35" s="5"/>
      <c r="L35" s="5"/>
      <c r="P35" s="3"/>
      <c r="Q35" s="3"/>
    </row>
    <row r="36" spans="1:17" ht="21">
      <c r="A36" s="340"/>
      <c r="B36" s="340"/>
      <c r="C36" s="551" t="s">
        <v>242</v>
      </c>
      <c r="D36" s="551"/>
      <c r="E36" s="551"/>
      <c r="F36" s="551"/>
      <c r="G36" s="551"/>
      <c r="H36" s="551"/>
      <c r="I36" s="551"/>
      <c r="J36" s="551"/>
      <c r="K36" s="551"/>
      <c r="L36" s="23"/>
      <c r="M36" s="23"/>
      <c r="N36" s="23"/>
      <c r="O36" s="23"/>
      <c r="P36" s="6"/>
      <c r="Q36" s="3"/>
    </row>
    <row r="37" spans="1:17" ht="18.75">
      <c r="A37" s="6"/>
      <c r="B37" s="340"/>
      <c r="C37" s="180" t="s">
        <v>243</v>
      </c>
      <c r="D37" s="315">
        <v>5000</v>
      </c>
      <c r="E37" s="180" t="s">
        <v>194</v>
      </c>
      <c r="F37" s="185"/>
      <c r="G37" s="185"/>
      <c r="H37" s="341"/>
      <c r="I37" s="6"/>
      <c r="J37" s="342"/>
      <c r="K37" s="342"/>
      <c r="L37" s="342"/>
      <c r="M37" s="20"/>
      <c r="N37" s="20"/>
      <c r="O37" s="20"/>
      <c r="P37" s="6"/>
      <c r="Q37" s="3"/>
    </row>
    <row r="38" spans="1:17" ht="18.75">
      <c r="A38" s="340"/>
      <c r="B38" s="340"/>
      <c r="C38" s="396" t="s">
        <v>244</v>
      </c>
      <c r="D38" s="172"/>
      <c r="E38" s="180"/>
      <c r="F38" s="315">
        <v>55.65</v>
      </c>
      <c r="G38" s="185"/>
      <c r="H38" s="23"/>
      <c r="I38" s="23"/>
      <c r="J38" s="23"/>
      <c r="K38" s="23"/>
      <c r="L38" s="5"/>
      <c r="M38" s="5"/>
      <c r="N38" s="23"/>
      <c r="O38" s="23"/>
      <c r="P38" s="6"/>
      <c r="Q38" s="3"/>
    </row>
    <row r="39" spans="1:17" ht="15.75">
      <c r="A39" s="343"/>
      <c r="B39" s="340"/>
      <c r="C39" s="180" t="s">
        <v>245</v>
      </c>
      <c r="D39" s="180"/>
      <c r="E39" s="185"/>
      <c r="F39" s="536">
        <f>0.17*D37</f>
        <v>850.00000000000011</v>
      </c>
      <c r="G39" s="185"/>
      <c r="H39" s="180" t="s">
        <v>248</v>
      </c>
      <c r="I39" s="180"/>
      <c r="J39" s="180"/>
      <c r="K39" s="536">
        <f>IF(0.43*D37-1.8*F40&lt;=K40,0.43*D37-1.8*F40,K40)</f>
        <v>1133.9395899681531</v>
      </c>
      <c r="L39" s="23"/>
      <c r="M39" s="23"/>
      <c r="N39" s="23"/>
      <c r="O39" s="3"/>
      <c r="P39" s="3"/>
    </row>
    <row r="40" spans="1:17" ht="18.75">
      <c r="A40" s="310"/>
      <c r="B40" s="185"/>
      <c r="C40" s="180" t="s">
        <v>246</v>
      </c>
      <c r="D40" s="180"/>
      <c r="E40" s="185"/>
      <c r="F40" s="536">
        <f>F41*1000/H44</f>
        <v>564.47800557324831</v>
      </c>
      <c r="G40" s="185"/>
      <c r="H40" s="180" t="s">
        <v>261</v>
      </c>
      <c r="I40" s="180"/>
      <c r="J40" s="330"/>
      <c r="K40" s="536">
        <f>0.33*D37</f>
        <v>1650</v>
      </c>
      <c r="L40" s="185" t="s">
        <v>194</v>
      </c>
      <c r="M40" s="185"/>
      <c r="N40" s="185"/>
      <c r="O40" s="3"/>
      <c r="P40" s="3"/>
    </row>
    <row r="41" spans="1:17" ht="15.75">
      <c r="A41" s="310"/>
      <c r="B41" s="185"/>
      <c r="C41" s="180" t="s">
        <v>247</v>
      </c>
      <c r="D41" s="180"/>
      <c r="E41" s="185"/>
      <c r="F41" s="315">
        <v>36.299999999999997</v>
      </c>
      <c r="G41" s="185"/>
      <c r="H41" s="180" t="s">
        <v>373</v>
      </c>
      <c r="I41" s="185"/>
      <c r="J41" s="185"/>
      <c r="K41" s="536">
        <f>F38*1000/H44</f>
        <v>865.37743829617818</v>
      </c>
      <c r="L41" s="185"/>
      <c r="M41" s="185"/>
      <c r="N41" s="185"/>
      <c r="O41" s="3"/>
      <c r="P41" s="3"/>
    </row>
    <row r="42" spans="1:17" ht="16.5" thickBot="1">
      <c r="A42" s="310"/>
      <c r="B42" s="185"/>
      <c r="C42" s="180"/>
      <c r="D42" s="180"/>
      <c r="E42" s="185"/>
      <c r="F42" s="315"/>
      <c r="G42" s="185"/>
      <c r="H42" s="180"/>
      <c r="I42" s="185"/>
      <c r="J42" s="185"/>
      <c r="K42" s="536"/>
      <c r="L42" s="185"/>
      <c r="M42" s="185"/>
      <c r="N42" s="185"/>
      <c r="O42" s="3"/>
      <c r="P42" s="3"/>
    </row>
    <row r="43" spans="1:17" ht="17.25" thickTop="1" thickBot="1">
      <c r="A43" s="246"/>
      <c r="E43" s="453" t="s">
        <v>250</v>
      </c>
      <c r="F43" s="454" t="s">
        <v>251</v>
      </c>
      <c r="G43" s="453" t="s">
        <v>252</v>
      </c>
      <c r="H43" s="453" t="s">
        <v>0</v>
      </c>
      <c r="P43" s="3"/>
      <c r="Q43" s="3"/>
    </row>
    <row r="44" spans="1:17" ht="17.25" thickTop="1" thickBot="1">
      <c r="E44" s="453">
        <v>8</v>
      </c>
      <c r="F44" s="454">
        <v>32</v>
      </c>
      <c r="G44" s="455">
        <f>3.14*(F44/10)^2/4</f>
        <v>8.0384000000000011</v>
      </c>
      <c r="H44" s="453">
        <f>E44*G44</f>
        <v>64.307200000000009</v>
      </c>
      <c r="I44" s="162" t="s">
        <v>378</v>
      </c>
      <c r="J44" s="162"/>
      <c r="K44" s="162" t="s">
        <v>379</v>
      </c>
      <c r="L44" s="5"/>
      <c r="N44" s="20"/>
      <c r="O44" s="3"/>
      <c r="P44" s="3"/>
    </row>
    <row r="45" spans="1:17" ht="16.5" thickTop="1">
      <c r="E45" s="162"/>
      <c r="F45" s="227"/>
      <c r="G45" s="321"/>
      <c r="H45" s="162"/>
      <c r="I45" s="162"/>
      <c r="J45" s="162"/>
      <c r="K45" s="162"/>
      <c r="L45" s="5"/>
      <c r="N45" s="20"/>
      <c r="O45" s="3"/>
      <c r="P45" s="3"/>
    </row>
    <row r="46" spans="1:17" ht="15.75">
      <c r="E46" s="180" t="s">
        <v>380</v>
      </c>
      <c r="F46" s="538">
        <f>E44</f>
        <v>8</v>
      </c>
      <c r="G46" s="539" t="s">
        <v>381</v>
      </c>
      <c r="H46" s="540">
        <f>F44</f>
        <v>32</v>
      </c>
      <c r="I46" s="537" t="str">
        <f>IF(F40&lt;=F39,"OK","Retry")</f>
        <v>OK</v>
      </c>
      <c r="J46" s="43"/>
      <c r="K46" s="537" t="str">
        <f>IF(K41&lt;=K39,"OK","Retry")</f>
        <v>OK</v>
      </c>
      <c r="N46" s="43"/>
      <c r="O46" s="3"/>
      <c r="P46" s="3"/>
    </row>
    <row r="47" spans="1:17">
      <c r="A47" s="5"/>
      <c r="C47" s="5"/>
      <c r="D47" s="5"/>
      <c r="I47" s="5"/>
      <c r="J47" s="5"/>
      <c r="N47" s="4"/>
      <c r="P47" s="3"/>
      <c r="Q47" s="3"/>
    </row>
    <row r="48" spans="1:17">
      <c r="C48" s="5"/>
      <c r="K48" s="5"/>
      <c r="L48" s="5"/>
      <c r="M48" s="5"/>
      <c r="P48" s="3"/>
      <c r="Q48" s="3"/>
    </row>
    <row r="49" spans="3:17">
      <c r="C49" s="5"/>
      <c r="K49" s="5"/>
      <c r="L49" s="5"/>
      <c r="M49" s="5"/>
      <c r="P49" s="3"/>
      <c r="Q49" s="3"/>
    </row>
    <row r="50" spans="3:17">
      <c r="C50" s="5"/>
      <c r="K50" s="5"/>
      <c r="L50" s="5"/>
      <c r="M50" s="5"/>
      <c r="P50" s="3"/>
      <c r="Q50" s="3"/>
    </row>
    <row r="51" spans="3:17" ht="21">
      <c r="C51" s="552"/>
      <c r="D51" s="552"/>
      <c r="E51" s="552"/>
      <c r="F51" s="552"/>
      <c r="G51" s="552"/>
      <c r="H51" s="552"/>
      <c r="I51" s="552"/>
      <c r="J51" s="552"/>
      <c r="K51" s="552"/>
      <c r="L51" s="5"/>
      <c r="M51" s="5"/>
      <c r="P51" s="3"/>
      <c r="Q51" s="3"/>
    </row>
    <row r="52" spans="3:17">
      <c r="C52" s="5"/>
      <c r="K52" s="5"/>
      <c r="L52" s="5"/>
      <c r="M52" s="5"/>
      <c r="P52" s="3"/>
      <c r="Q52" s="3"/>
    </row>
    <row r="53" spans="3:17">
      <c r="C53" s="5"/>
      <c r="K53" s="5"/>
      <c r="L53" s="5"/>
      <c r="M53" s="5"/>
      <c r="P53" s="3"/>
      <c r="Q53" s="3"/>
    </row>
    <row r="54" spans="3:17">
      <c r="C54" s="5"/>
      <c r="K54" s="5"/>
      <c r="L54" s="5"/>
      <c r="M54" s="5"/>
      <c r="P54" s="3"/>
      <c r="Q54" s="3"/>
    </row>
    <row r="55" spans="3:17">
      <c r="C55" s="5"/>
      <c r="K55" s="5"/>
      <c r="L55" s="5"/>
      <c r="M55" s="5"/>
      <c r="P55" s="3"/>
      <c r="Q55" s="3"/>
    </row>
    <row r="56" spans="3:17">
      <c r="C56" s="5"/>
      <c r="K56" s="5"/>
      <c r="L56" s="5"/>
      <c r="M56" s="5"/>
      <c r="P56" s="3"/>
      <c r="Q56" s="3"/>
    </row>
    <row r="57" spans="3:17">
      <c r="C57" s="5"/>
      <c r="K57" s="5"/>
      <c r="L57" s="5"/>
      <c r="M57" s="5"/>
      <c r="P57" s="3"/>
      <c r="Q57" s="3"/>
    </row>
    <row r="58" spans="3:17">
      <c r="C58" s="5"/>
      <c r="K58" s="5"/>
      <c r="L58" s="5"/>
      <c r="M58" s="5"/>
      <c r="P58" s="3"/>
      <c r="Q58" s="3"/>
    </row>
    <row r="59" spans="3:17">
      <c r="C59" s="5"/>
      <c r="K59" s="5"/>
      <c r="L59" s="5"/>
      <c r="M59" s="5"/>
      <c r="P59" s="3"/>
      <c r="Q59" s="3"/>
    </row>
    <row r="60" spans="3:17" ht="15.75">
      <c r="E60" s="5"/>
      <c r="F60" s="5"/>
      <c r="G60" s="5"/>
      <c r="H60" s="5"/>
      <c r="K60" s="174"/>
      <c r="L60" s="5"/>
      <c r="M60" s="5"/>
      <c r="P60" s="3"/>
      <c r="Q60" s="3"/>
    </row>
    <row r="61" spans="3:17" ht="15.75">
      <c r="D61" s="5"/>
      <c r="E61" s="174"/>
      <c r="F61" s="5"/>
      <c r="G61" s="174" t="s">
        <v>240</v>
      </c>
      <c r="H61" s="174"/>
      <c r="I61" s="5"/>
      <c r="J61" s="5"/>
      <c r="K61" s="5"/>
      <c r="L61" s="5"/>
      <c r="M61" s="5"/>
      <c r="Q61" s="3"/>
    </row>
    <row r="62" spans="3:17" ht="15.75">
      <c r="C62" s="5"/>
      <c r="D62" s="5"/>
      <c r="E62" s="5"/>
      <c r="F62" s="5"/>
      <c r="G62" s="5"/>
      <c r="H62" s="5"/>
      <c r="I62" s="174"/>
      <c r="J62" s="174"/>
      <c r="K62" s="162"/>
      <c r="L62" s="6"/>
      <c r="M62" s="6"/>
      <c r="Q62" s="3"/>
    </row>
    <row r="63" spans="3:17" ht="15.75">
      <c r="C63" s="5"/>
      <c r="D63" s="5"/>
      <c r="E63" s="6"/>
      <c r="F63" s="6"/>
      <c r="G63" s="6"/>
      <c r="H63" s="466" t="s">
        <v>375</v>
      </c>
      <c r="I63" s="5"/>
      <c r="J63" s="162"/>
      <c r="K63" s="5"/>
      <c r="L63" s="6"/>
      <c r="M63" s="6"/>
      <c r="Q63" s="3"/>
    </row>
    <row r="64" spans="3:17" ht="15.75">
      <c r="C64" s="5"/>
      <c r="D64" s="535" t="s">
        <v>241</v>
      </c>
      <c r="E64" s="5"/>
      <c r="F64" s="5"/>
      <c r="G64" s="5"/>
      <c r="H64" s="5"/>
      <c r="I64" s="6"/>
      <c r="J64" s="5"/>
      <c r="K64" s="185"/>
      <c r="L64" s="6"/>
      <c r="M64" s="6"/>
      <c r="N64" s="3"/>
      <c r="O64" s="3"/>
      <c r="P64" s="3"/>
      <c r="Q64" s="3"/>
    </row>
    <row r="65" spans="3:17" ht="18.75">
      <c r="C65" s="6"/>
      <c r="D65" s="5"/>
      <c r="E65" s="172" t="s">
        <v>211</v>
      </c>
      <c r="F65" s="315">
        <v>240</v>
      </c>
      <c r="G65" s="185" t="s">
        <v>194</v>
      </c>
      <c r="H65" s="185"/>
      <c r="I65" s="5"/>
      <c r="J65" s="5"/>
      <c r="K65" s="185"/>
      <c r="L65" s="6"/>
      <c r="M65" s="6"/>
      <c r="N65" s="3"/>
      <c r="O65" s="3"/>
      <c r="P65" s="3"/>
      <c r="Q65" s="3"/>
    </row>
    <row r="66" spans="3:17" ht="18.75">
      <c r="C66" s="185"/>
      <c r="D66" s="185"/>
      <c r="E66" s="172" t="s">
        <v>119</v>
      </c>
      <c r="F66" s="315">
        <v>2400</v>
      </c>
      <c r="G66" s="185" t="s">
        <v>194</v>
      </c>
      <c r="H66" s="185"/>
      <c r="I66" s="162"/>
      <c r="J66" s="162"/>
      <c r="K66" s="185"/>
      <c r="L66" s="6"/>
      <c r="M66" s="6"/>
      <c r="N66" s="3"/>
      <c r="O66" s="3"/>
      <c r="P66" s="3"/>
      <c r="Q66" s="3"/>
    </row>
    <row r="67" spans="3:17" ht="15.75">
      <c r="C67" s="6"/>
      <c r="D67" s="185"/>
      <c r="E67" s="172" t="s">
        <v>113</v>
      </c>
      <c r="F67" s="315">
        <v>74.099999999999994</v>
      </c>
      <c r="G67" s="185" t="s">
        <v>27</v>
      </c>
      <c r="H67" s="185"/>
      <c r="I67" s="6"/>
      <c r="J67" s="6"/>
      <c r="K67" s="185"/>
      <c r="L67" s="6"/>
      <c r="M67" s="5"/>
      <c r="N67" s="3"/>
      <c r="O67" s="3"/>
      <c r="P67" s="3"/>
      <c r="Q67" s="3"/>
    </row>
    <row r="68" spans="3:17" ht="18.75">
      <c r="C68" s="6"/>
      <c r="D68" s="185"/>
      <c r="E68" s="172" t="s">
        <v>230</v>
      </c>
      <c r="F68" s="172" t="s">
        <v>383</v>
      </c>
      <c r="G68" s="227">
        <f>0.3*F65</f>
        <v>72</v>
      </c>
      <c r="H68" s="185" t="s">
        <v>194</v>
      </c>
      <c r="I68" s="185"/>
      <c r="J68" s="185"/>
      <c r="K68" s="185"/>
      <c r="L68" s="6"/>
      <c r="M68" s="5"/>
      <c r="N68" s="3"/>
      <c r="O68" s="3"/>
      <c r="P68" s="3"/>
      <c r="Q68" s="3"/>
    </row>
    <row r="69" spans="3:17" ht="15.75">
      <c r="C69" s="6"/>
      <c r="D69" s="185"/>
      <c r="E69" s="172" t="s">
        <v>231</v>
      </c>
      <c r="F69" s="315">
        <v>50</v>
      </c>
      <c r="G69" s="185" t="s">
        <v>24</v>
      </c>
      <c r="H69" s="185"/>
      <c r="I69" s="185"/>
      <c r="J69" s="185"/>
      <c r="K69" s="185"/>
      <c r="L69" s="6"/>
      <c r="M69" s="6"/>
      <c r="P69" s="3"/>
      <c r="Q69" s="3"/>
    </row>
    <row r="70" spans="3:17" ht="15.75">
      <c r="C70" s="6"/>
      <c r="D70" s="185"/>
      <c r="E70" s="172" t="s">
        <v>148</v>
      </c>
      <c r="F70" s="315">
        <v>50</v>
      </c>
      <c r="G70" s="185" t="s">
        <v>24</v>
      </c>
      <c r="H70" s="185"/>
      <c r="I70" s="185"/>
      <c r="J70" s="185"/>
      <c r="K70" s="185"/>
      <c r="L70" s="6"/>
      <c r="M70" s="6"/>
      <c r="P70" s="3"/>
      <c r="Q70" s="3"/>
    </row>
    <row r="71" spans="3:17" ht="15.75">
      <c r="C71" s="6"/>
      <c r="D71" s="185"/>
      <c r="E71" s="172" t="s">
        <v>232</v>
      </c>
      <c r="F71" s="315">
        <v>7.5</v>
      </c>
      <c r="G71" s="185" t="s">
        <v>24</v>
      </c>
      <c r="H71" s="5"/>
      <c r="I71" s="185"/>
      <c r="J71" s="185"/>
      <c r="K71" s="185"/>
      <c r="L71" s="6"/>
      <c r="M71" s="6"/>
      <c r="N71" s="3"/>
      <c r="O71" s="3"/>
      <c r="P71" s="3"/>
      <c r="Q71" s="3"/>
    </row>
    <row r="72" spans="3:17" ht="15.75">
      <c r="C72" s="6"/>
      <c r="D72" s="185"/>
      <c r="E72" s="5"/>
      <c r="F72" s="5"/>
      <c r="G72" s="5"/>
      <c r="H72" s="5"/>
      <c r="I72" s="5"/>
      <c r="J72" s="185"/>
      <c r="K72" s="185"/>
      <c r="L72" s="6"/>
      <c r="M72" s="6"/>
      <c r="N72" s="3"/>
      <c r="O72" s="3"/>
      <c r="P72" s="3"/>
    </row>
    <row r="73" spans="3:17" ht="15.75">
      <c r="C73" s="6"/>
      <c r="D73" s="185"/>
      <c r="E73" s="172" t="s">
        <v>233</v>
      </c>
      <c r="F73" s="162">
        <f>F69/2</f>
        <v>25</v>
      </c>
      <c r="G73" s="185"/>
      <c r="H73" s="227" t="s">
        <v>234</v>
      </c>
      <c r="I73" s="5"/>
      <c r="J73" s="185"/>
      <c r="K73" s="185"/>
      <c r="L73" s="6"/>
      <c r="M73" s="6"/>
      <c r="N73" s="3"/>
      <c r="O73" s="3"/>
      <c r="P73" s="3"/>
    </row>
    <row r="74" spans="3:17" ht="15.75">
      <c r="C74" s="6"/>
      <c r="D74" s="185"/>
      <c r="E74" s="172" t="s">
        <v>235</v>
      </c>
      <c r="F74" s="162">
        <f>F69/6</f>
        <v>8.3333333333333339</v>
      </c>
      <c r="G74" s="185"/>
      <c r="H74" s="162"/>
      <c r="I74" s="162"/>
      <c r="J74" s="185"/>
      <c r="K74" s="185"/>
      <c r="L74" s="6"/>
      <c r="M74" s="6"/>
      <c r="N74" s="3"/>
      <c r="O74" s="3"/>
      <c r="P74" s="3"/>
    </row>
    <row r="75" spans="3:17" ht="15.75">
      <c r="C75" s="6"/>
      <c r="D75" s="185"/>
      <c r="E75" s="185"/>
      <c r="F75" s="185"/>
      <c r="G75" s="185"/>
      <c r="H75" s="185"/>
      <c r="I75" s="162"/>
      <c r="J75" s="185"/>
      <c r="K75" s="185"/>
      <c r="L75" s="6"/>
      <c r="M75" s="172" t="s">
        <v>215</v>
      </c>
      <c r="N75" s="3"/>
      <c r="O75" s="3"/>
      <c r="P75" s="3"/>
    </row>
    <row r="76" spans="3:17" ht="15.75">
      <c r="C76" s="6"/>
      <c r="D76" s="185"/>
      <c r="E76" s="172" t="s">
        <v>236</v>
      </c>
      <c r="F76" s="180" t="s">
        <v>237</v>
      </c>
      <c r="G76" s="172"/>
      <c r="H76" s="227">
        <f>(F67*1000/(F69*F70))*(1+(6*F71/F69))</f>
        <v>56.315999999999995</v>
      </c>
      <c r="I76" s="185"/>
      <c r="J76" s="5"/>
      <c r="K76" s="185"/>
      <c r="L76" s="6"/>
      <c r="M76" s="172" t="s">
        <v>216</v>
      </c>
      <c r="N76" s="3"/>
      <c r="O76" s="3"/>
      <c r="P76" s="3"/>
    </row>
    <row r="77" spans="3:17" ht="15.75">
      <c r="C77" s="6"/>
      <c r="D77" s="185"/>
      <c r="E77" s="5"/>
      <c r="F77" s="5"/>
      <c r="G77" s="5"/>
      <c r="H77" s="185"/>
      <c r="I77" s="316" t="str">
        <f>IF(H76&lt;G68,"fp&lt;Fp  O.K", "fp&gt;Fp  N.G")</f>
        <v>fp&lt;Fp  O.K</v>
      </c>
      <c r="J77" s="185"/>
      <c r="K77" s="185"/>
      <c r="L77" s="6"/>
      <c r="M77" s="6"/>
      <c r="N77" s="317">
        <f>IF(F82=1,E97,IF(F82=1.1,F97,IF(F82=1.2,G97,IF(F82=1.3,H97,IF(F82=1.4,I97,IF(F82=1.5,J97,IF(F82=1.6,K97,IF(F82=1.7,L97))))))))</f>
        <v>4.8000000000000001E-2</v>
      </c>
      <c r="O77" s="317" t="b">
        <f>IF(F82=1.8,M97,IF(F82=1.9,N97,IF(F82=2,O97,IF(F82&gt;2,P97))))</f>
        <v>0</v>
      </c>
      <c r="P77" s="3"/>
    </row>
    <row r="78" spans="3:17" ht="18.75">
      <c r="C78" s="6"/>
      <c r="D78" s="185"/>
      <c r="E78" s="172"/>
      <c r="F78" s="162" t="s">
        <v>238</v>
      </c>
      <c r="G78" s="162">
        <f>F69*F70</f>
        <v>2500</v>
      </c>
      <c r="H78" s="185" t="s">
        <v>213</v>
      </c>
      <c r="I78" s="185"/>
      <c r="J78" s="185"/>
      <c r="K78" s="185"/>
      <c r="L78" s="6"/>
      <c r="M78" s="6"/>
      <c r="N78" s="319">
        <f>IF(F82=1,E98,IF(F82=1.1,F98,IF(F82=1.2,G98,IF(F82=1.3,H98,IF(F82=1.4,I98,IF(F82=1.5,J98,IF(F82=1.6,K98,IF(F82=1.7,L98))))))))</f>
        <v>4.8000000000000001E-2</v>
      </c>
      <c r="O78" s="317" t="b">
        <f>IF(F82=1.8,M98,IF(F82=1.9,N98,IF(F82=2,O98,IF(F82&gt;2,P98))))</f>
        <v>0</v>
      </c>
      <c r="P78" s="3"/>
    </row>
    <row r="79" spans="3:17" ht="15.75">
      <c r="C79" s="6"/>
      <c r="D79" s="185"/>
      <c r="E79" s="5"/>
      <c r="F79" s="5"/>
      <c r="G79" s="5"/>
      <c r="H79" s="185"/>
      <c r="I79" s="185"/>
      <c r="J79" s="185"/>
      <c r="K79" s="6"/>
      <c r="L79" s="6"/>
      <c r="M79" s="6"/>
      <c r="N79" s="3"/>
      <c r="O79" s="3"/>
      <c r="P79" s="3"/>
    </row>
    <row r="80" spans="3:17" ht="15.75">
      <c r="C80" s="6"/>
      <c r="D80" s="185"/>
      <c r="E80" s="172" t="s">
        <v>217</v>
      </c>
      <c r="F80" s="315">
        <v>24</v>
      </c>
      <c r="G80" s="185" t="s">
        <v>24</v>
      </c>
      <c r="H80" s="162" t="s">
        <v>218</v>
      </c>
      <c r="I80" s="185"/>
      <c r="J80" s="185"/>
      <c r="K80" s="185"/>
      <c r="L80" s="6"/>
      <c r="M80" s="6"/>
      <c r="N80" s="3"/>
      <c r="O80" s="3"/>
      <c r="P80" s="3"/>
    </row>
    <row r="81" spans="3:16" ht="15.75">
      <c r="C81" s="6"/>
      <c r="D81" s="185"/>
      <c r="E81" s="172" t="s">
        <v>135</v>
      </c>
      <c r="F81" s="315">
        <v>24</v>
      </c>
      <c r="G81" s="185" t="s">
        <v>24</v>
      </c>
      <c r="H81" s="162"/>
      <c r="I81" s="172" t="s">
        <v>215</v>
      </c>
      <c r="J81" s="227">
        <f>MAX(N77,O77)</f>
        <v>4.8000000000000001E-2</v>
      </c>
      <c r="K81" s="185"/>
      <c r="L81" s="6"/>
      <c r="M81" s="5">
        <f>F69*F70*J90*0.00785</f>
        <v>49.062499999999993</v>
      </c>
      <c r="N81" s="318"/>
      <c r="O81" s="318"/>
      <c r="P81" s="318"/>
    </row>
    <row r="82" spans="3:16" ht="15.75">
      <c r="C82" s="6"/>
      <c r="D82" s="185"/>
      <c r="E82" s="172" t="s">
        <v>219</v>
      </c>
      <c r="F82" s="320">
        <f>ROUND(F80/F81,1)</f>
        <v>1</v>
      </c>
      <c r="G82" s="185"/>
      <c r="H82" s="185"/>
      <c r="I82" s="172" t="s">
        <v>216</v>
      </c>
      <c r="J82" s="227">
        <f>MAX(N78,O78)</f>
        <v>4.8000000000000001E-2</v>
      </c>
      <c r="K82" s="185"/>
      <c r="L82" s="6"/>
      <c r="M82" s="5"/>
      <c r="N82" s="318"/>
      <c r="O82" s="318"/>
      <c r="P82" s="318"/>
    </row>
    <row r="83" spans="3:16" ht="15.75">
      <c r="C83" s="6"/>
      <c r="D83" s="185"/>
      <c r="E83" s="185"/>
      <c r="F83" s="185"/>
      <c r="G83" s="185"/>
      <c r="H83" s="185"/>
      <c r="I83" s="185"/>
      <c r="J83" s="162"/>
      <c r="K83" s="185"/>
      <c r="L83" s="6"/>
      <c r="M83" s="162"/>
      <c r="P83" s="319"/>
    </row>
    <row r="84" spans="3:16" ht="18.75">
      <c r="C84" s="6"/>
      <c r="D84" s="185"/>
      <c r="E84" s="172" t="s">
        <v>220</v>
      </c>
      <c r="F84" s="180" t="s">
        <v>221</v>
      </c>
      <c r="G84" s="227">
        <f>J81*H76*(F81)^2</f>
        <v>1557.0247679999998</v>
      </c>
      <c r="H84" s="6"/>
      <c r="I84" s="185"/>
      <c r="J84" s="162"/>
      <c r="K84" s="185"/>
      <c r="L84" s="6"/>
      <c r="M84" s="20"/>
      <c r="P84" s="319"/>
    </row>
    <row r="85" spans="3:16" ht="18.75">
      <c r="C85" s="6"/>
      <c r="D85" s="185"/>
      <c r="E85" s="172" t="s">
        <v>222</v>
      </c>
      <c r="F85" s="180" t="s">
        <v>223</v>
      </c>
      <c r="G85" s="227">
        <f>J82*H76*(F80)^2</f>
        <v>1557.0247679999998</v>
      </c>
      <c r="H85" s="6"/>
      <c r="I85" s="185"/>
      <c r="J85" s="185"/>
      <c r="K85" s="185"/>
      <c r="L85" s="6"/>
      <c r="M85" s="20"/>
      <c r="N85" s="319"/>
      <c r="O85" s="319"/>
      <c r="P85" s="319"/>
    </row>
    <row r="86" spans="3:16" ht="15.75">
      <c r="C86" s="6"/>
      <c r="D86" s="185"/>
      <c r="E86" s="185"/>
      <c r="F86" s="185"/>
      <c r="G86" s="185"/>
      <c r="H86" s="185"/>
      <c r="I86" s="185"/>
      <c r="J86" s="185"/>
      <c r="K86" s="185"/>
      <c r="L86" s="6"/>
      <c r="M86" s="206"/>
      <c r="N86" s="317"/>
      <c r="O86" s="317"/>
      <c r="P86" s="317"/>
    </row>
    <row r="87" spans="3:16" ht="15.75">
      <c r="C87" s="6"/>
      <c r="D87" s="185"/>
      <c r="E87" s="185" t="s">
        <v>224</v>
      </c>
      <c r="F87" s="227">
        <f>MAX(G84:G85)</f>
        <v>1557.0247679999998</v>
      </c>
      <c r="G87" s="185"/>
      <c r="H87" s="185"/>
      <c r="I87" s="5"/>
      <c r="J87" s="185"/>
      <c r="K87" s="185"/>
      <c r="L87" s="6"/>
      <c r="M87" s="206"/>
      <c r="N87" s="317"/>
      <c r="O87" s="317"/>
      <c r="P87" s="317"/>
    </row>
    <row r="88" spans="3:16" ht="15.75">
      <c r="C88" s="6"/>
      <c r="D88" s="185"/>
      <c r="E88" s="185"/>
      <c r="F88" s="185"/>
      <c r="G88" s="185"/>
      <c r="H88" s="185"/>
      <c r="I88" s="185"/>
      <c r="J88" s="185"/>
      <c r="K88" s="185" t="s">
        <v>24</v>
      </c>
      <c r="L88" s="6"/>
      <c r="M88" s="206"/>
      <c r="N88" s="266"/>
      <c r="O88" s="266"/>
      <c r="P88" s="266"/>
    </row>
    <row r="89" spans="3:16" ht="15.75">
      <c r="C89" s="6"/>
      <c r="D89" s="185"/>
      <c r="E89" s="162" t="s">
        <v>239</v>
      </c>
      <c r="F89" s="162"/>
      <c r="G89" s="322">
        <f>(6*F87/(0.75*F66))^0.5</f>
        <v>2.2781752698157356</v>
      </c>
      <c r="H89" s="185" t="s">
        <v>24</v>
      </c>
      <c r="I89" s="185"/>
      <c r="J89" s="185"/>
      <c r="K89" s="185"/>
      <c r="L89" s="6"/>
      <c r="M89" s="6"/>
      <c r="N89" s="266"/>
      <c r="O89" s="266"/>
      <c r="P89" s="266"/>
    </row>
    <row r="90" spans="3:16" ht="15.75">
      <c r="C90" s="6"/>
      <c r="D90" s="185"/>
      <c r="E90" s="185"/>
      <c r="F90" s="5"/>
      <c r="G90" s="5"/>
      <c r="H90" s="5"/>
      <c r="I90" s="172" t="s">
        <v>167</v>
      </c>
      <c r="J90" s="238">
        <v>2.5</v>
      </c>
      <c r="K90" s="185"/>
      <c r="L90" s="5"/>
      <c r="M90" s="5"/>
      <c r="N90" s="23"/>
      <c r="O90" s="23"/>
      <c r="P90" s="23"/>
    </row>
    <row r="91" spans="3:16" ht="15.75">
      <c r="C91" s="6"/>
      <c r="D91" s="185"/>
      <c r="E91" s="6"/>
      <c r="F91" s="323" t="str">
        <f>CONCATENATE(" USE PL  ",F70,"x",F69,"x",J90)</f>
        <v xml:space="preserve"> USE PL  50x50x2.5</v>
      </c>
      <c r="G91" s="324"/>
      <c r="H91" s="324"/>
      <c r="I91" s="327"/>
      <c r="J91" s="185"/>
      <c r="K91" s="5"/>
      <c r="N91" s="185"/>
      <c r="O91" s="185"/>
      <c r="P91" s="185"/>
    </row>
    <row r="92" spans="3:16" ht="15.75">
      <c r="C92" s="6"/>
      <c r="D92" s="185"/>
      <c r="E92" s="5"/>
      <c r="F92" s="5"/>
      <c r="G92" s="5"/>
      <c r="H92" s="5"/>
      <c r="I92" s="5"/>
      <c r="J92" s="185"/>
      <c r="K92" s="5"/>
    </row>
    <row r="93" spans="3:16">
      <c r="C93" s="6"/>
      <c r="D93" s="5"/>
      <c r="E93" s="5"/>
      <c r="F93" s="5"/>
      <c r="G93" s="5"/>
      <c r="H93" s="5"/>
      <c r="I93" s="5"/>
      <c r="J93" s="5"/>
      <c r="K93" s="5"/>
    </row>
    <row r="94" spans="3:16">
      <c r="C94" s="6"/>
    </row>
    <row r="95" spans="3:16">
      <c r="C95" s="6"/>
      <c r="D95" s="5"/>
      <c r="E95" s="5"/>
      <c r="F95" s="5"/>
      <c r="G95" s="5"/>
      <c r="H95" s="5"/>
      <c r="I95" s="5"/>
      <c r="J95" s="5"/>
      <c r="K95" s="5"/>
      <c r="L95" s="6"/>
      <c r="M95" s="6"/>
      <c r="N95" s="3"/>
      <c r="O95" s="3"/>
      <c r="P95" s="3"/>
    </row>
    <row r="96" spans="3:16" ht="15.75">
      <c r="C96" s="6"/>
      <c r="D96" s="325" t="s">
        <v>226</v>
      </c>
      <c r="E96" s="325">
        <v>1</v>
      </c>
      <c r="F96" s="326">
        <v>1.1000000000000001</v>
      </c>
      <c r="G96" s="326">
        <v>1.2</v>
      </c>
      <c r="H96" s="326">
        <v>1.3</v>
      </c>
      <c r="I96" s="326">
        <v>1.4</v>
      </c>
      <c r="J96" s="326">
        <v>1.5</v>
      </c>
      <c r="K96" s="326">
        <v>1.6</v>
      </c>
      <c r="L96" s="326">
        <v>1.7</v>
      </c>
      <c r="M96" s="326">
        <v>1.8</v>
      </c>
      <c r="N96" s="326">
        <v>1.9</v>
      </c>
      <c r="O96" s="326">
        <v>2</v>
      </c>
      <c r="P96" s="326" t="s">
        <v>227</v>
      </c>
    </row>
    <row r="97" spans="3:16" ht="15.75">
      <c r="C97" s="6"/>
      <c r="D97" s="325" t="s">
        <v>228</v>
      </c>
      <c r="E97" s="325">
        <v>4.8000000000000001E-2</v>
      </c>
      <c r="F97" s="326">
        <v>5.5E-2</v>
      </c>
      <c r="G97" s="326">
        <v>6.3E-2</v>
      </c>
      <c r="H97" s="326">
        <v>6.9000000000000006E-2</v>
      </c>
      <c r="I97" s="326">
        <v>7.4999999999999997E-2</v>
      </c>
      <c r="J97" s="326">
        <v>8.1000000000000003E-2</v>
      </c>
      <c r="K97" s="326">
        <v>8.5999999999999993E-2</v>
      </c>
      <c r="L97" s="326">
        <v>9.0999999999999998E-2</v>
      </c>
      <c r="M97" s="326">
        <v>9.4E-2</v>
      </c>
      <c r="N97" s="326">
        <v>9.8000000000000004E-2</v>
      </c>
      <c r="O97" s="326">
        <v>0.1</v>
      </c>
      <c r="P97" s="326">
        <v>0.125</v>
      </c>
    </row>
    <row r="98" spans="3:16" ht="15.75">
      <c r="C98" s="6"/>
      <c r="D98" s="325" t="s">
        <v>229</v>
      </c>
      <c r="E98" s="325">
        <v>4.8000000000000001E-2</v>
      </c>
      <c r="F98" s="326">
        <v>4.9000000000000002E-2</v>
      </c>
      <c r="G98" s="326">
        <v>0.05</v>
      </c>
      <c r="H98" s="326">
        <v>0.05</v>
      </c>
      <c r="I98" s="326">
        <v>0.05</v>
      </c>
      <c r="J98" s="326">
        <v>0.05</v>
      </c>
      <c r="K98" s="326">
        <v>4.9000000000000002E-2</v>
      </c>
      <c r="L98" s="326">
        <v>4.8000000000000001E-2</v>
      </c>
      <c r="M98" s="326">
        <v>4.8000000000000001E-2</v>
      </c>
      <c r="N98" s="326">
        <v>4.7E-2</v>
      </c>
      <c r="O98" s="326">
        <v>4.5999999999999999E-2</v>
      </c>
      <c r="P98" s="326">
        <v>3.6999999999999998E-2</v>
      </c>
    </row>
    <row r="99" spans="3:16">
      <c r="C99" s="3"/>
      <c r="P99" s="3"/>
    </row>
    <row r="100" spans="3:16">
      <c r="P100" s="3"/>
    </row>
    <row r="103" spans="3:16" ht="15.75">
      <c r="C103" s="281"/>
    </row>
  </sheetData>
  <mergeCells count="5">
    <mergeCell ref="P24:Q24"/>
    <mergeCell ref="P25:Q25"/>
    <mergeCell ref="C9:K9"/>
    <mergeCell ref="C36:K36"/>
    <mergeCell ref="C51:K51"/>
  </mergeCells>
  <phoneticPr fontId="83" type="noConversion"/>
  <pageMargins left="0.7" right="0.7" top="2" bottom="2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9"/>
  <sheetViews>
    <sheetView zoomScaleNormal="100" workbookViewId="0">
      <selection sqref="A1:O9"/>
    </sheetView>
  </sheetViews>
  <sheetFormatPr defaultRowHeight="12.75"/>
  <cols>
    <col min="1" max="8" width="5.7109375" customWidth="1"/>
    <col min="9" max="10" width="8.28515625" customWidth="1"/>
    <col min="11" max="11" width="14.140625" customWidth="1"/>
    <col min="12" max="14" width="8.28515625" customWidth="1"/>
    <col min="15" max="15" width="10.5703125" customWidth="1"/>
    <col min="16" max="18" width="8.28515625" customWidth="1"/>
  </cols>
  <sheetData>
    <row r="1" spans="1:19" ht="15.95" customHeight="1" thickTop="1">
      <c r="A1" s="336"/>
      <c r="B1" s="337"/>
      <c r="C1" s="52"/>
      <c r="D1" s="52"/>
      <c r="E1" s="52"/>
      <c r="F1" s="52"/>
      <c r="G1" s="338"/>
      <c r="H1" s="338"/>
      <c r="I1" s="339" t="s">
        <v>242</v>
      </c>
      <c r="J1" s="338"/>
      <c r="K1" s="338"/>
      <c r="L1" s="52"/>
      <c r="M1" s="52"/>
      <c r="N1" s="52"/>
      <c r="O1" s="52"/>
      <c r="P1" s="52"/>
      <c r="Q1" s="53"/>
      <c r="R1" s="23"/>
      <c r="S1" s="5"/>
    </row>
    <row r="2" spans="1:19" ht="22.5" customHeight="1">
      <c r="A2" s="165"/>
      <c r="B2" s="340"/>
      <c r="C2" s="180" t="s">
        <v>243</v>
      </c>
      <c r="D2" s="315">
        <v>5000</v>
      </c>
      <c r="E2" s="180" t="s">
        <v>194</v>
      </c>
      <c r="F2" s="185"/>
      <c r="G2" s="185"/>
      <c r="H2" s="341"/>
      <c r="I2" s="6"/>
      <c r="J2" s="342"/>
      <c r="K2" s="342"/>
      <c r="L2" s="342"/>
      <c r="M2" s="20"/>
      <c r="N2" s="20"/>
      <c r="O2" s="20"/>
      <c r="P2" s="20"/>
      <c r="Q2" s="57"/>
      <c r="R2" s="20"/>
      <c r="S2" s="5"/>
    </row>
    <row r="3" spans="1:19" ht="15.95" customHeight="1">
      <c r="A3" s="343"/>
      <c r="B3" s="340"/>
      <c r="C3" s="396" t="s">
        <v>244</v>
      </c>
      <c r="D3" s="172"/>
      <c r="E3" s="180"/>
      <c r="F3" s="180"/>
      <c r="G3" s="185"/>
      <c r="H3" s="23"/>
      <c r="I3" s="23"/>
      <c r="J3" s="23"/>
      <c r="K3" s="23"/>
      <c r="N3" s="23"/>
      <c r="O3" s="23"/>
      <c r="P3" s="23"/>
      <c r="Q3" s="55"/>
      <c r="R3" s="23"/>
      <c r="S3" s="5"/>
    </row>
    <row r="4" spans="1:19" ht="15.95" customHeight="1">
      <c r="A4" s="343"/>
      <c r="B4" s="340"/>
      <c r="C4" s="180" t="s">
        <v>245</v>
      </c>
      <c r="D4" s="180"/>
      <c r="E4" s="185"/>
      <c r="F4" s="185"/>
      <c r="G4" s="185"/>
      <c r="H4" s="180" t="s">
        <v>248</v>
      </c>
      <c r="I4" s="180"/>
      <c r="J4" s="180"/>
      <c r="K4" s="5"/>
      <c r="L4" s="180"/>
      <c r="M4" s="23"/>
      <c r="N4" s="23"/>
      <c r="O4" s="23"/>
      <c r="P4" s="23"/>
      <c r="Q4" s="55"/>
      <c r="R4" s="23"/>
      <c r="S4" s="5"/>
    </row>
    <row r="5" spans="1:19" ht="15.95" customHeight="1">
      <c r="A5" s="310"/>
      <c r="B5" s="185"/>
      <c r="C5" s="180" t="s">
        <v>246</v>
      </c>
      <c r="D5" s="180"/>
      <c r="E5" s="185"/>
      <c r="F5" s="185"/>
      <c r="G5" s="185"/>
      <c r="H5" s="180" t="s">
        <v>261</v>
      </c>
      <c r="I5" s="180"/>
      <c r="J5" s="330">
        <f>0.33*D2</f>
        <v>1650</v>
      </c>
      <c r="K5" s="185" t="s">
        <v>194</v>
      </c>
      <c r="L5" s="5"/>
      <c r="M5" s="185"/>
      <c r="N5" s="185"/>
      <c r="O5" s="185"/>
      <c r="P5" s="185"/>
      <c r="Q5" s="173"/>
      <c r="R5" s="185"/>
      <c r="S5" s="5"/>
    </row>
    <row r="6" spans="1:19" ht="15.95" customHeight="1">
      <c r="A6" s="310"/>
      <c r="B6" s="185"/>
      <c r="C6" s="180" t="s">
        <v>247</v>
      </c>
      <c r="D6" s="180"/>
      <c r="E6" s="185"/>
      <c r="F6" s="185"/>
      <c r="G6" s="185"/>
      <c r="H6" s="180" t="s">
        <v>373</v>
      </c>
      <c r="I6" s="185"/>
      <c r="J6" s="185"/>
      <c r="K6" s="185"/>
      <c r="L6" s="185"/>
      <c r="M6" s="185"/>
      <c r="N6" s="185"/>
      <c r="O6" s="185"/>
      <c r="P6" s="185"/>
      <c r="Q6" s="173"/>
      <c r="R6" s="185"/>
      <c r="S6" s="5"/>
    </row>
    <row r="7" spans="1:19" ht="15.95" customHeight="1" thickBot="1">
      <c r="A7" s="328"/>
      <c r="P7" s="5"/>
      <c r="Q7" s="312"/>
      <c r="R7" s="5"/>
      <c r="S7" s="5"/>
    </row>
    <row r="8" spans="1:19" ht="15.95" customHeight="1" thickTop="1" thickBot="1">
      <c r="A8" s="453" t="s">
        <v>249</v>
      </c>
      <c r="B8" s="453" t="s">
        <v>250</v>
      </c>
      <c r="C8" s="454" t="s">
        <v>251</v>
      </c>
      <c r="D8" s="453" t="s">
        <v>252</v>
      </c>
      <c r="E8" s="453" t="s">
        <v>0</v>
      </c>
      <c r="F8" s="453" t="s">
        <v>253</v>
      </c>
      <c r="G8" s="453" t="s">
        <v>254</v>
      </c>
      <c r="H8" s="453" t="s">
        <v>255</v>
      </c>
      <c r="I8" s="453" t="s">
        <v>256</v>
      </c>
      <c r="J8" s="453" t="s">
        <v>257</v>
      </c>
      <c r="K8" s="453"/>
      <c r="L8" s="453" t="s">
        <v>258</v>
      </c>
      <c r="M8" s="453" t="s">
        <v>259</v>
      </c>
      <c r="N8" s="453" t="s">
        <v>260</v>
      </c>
      <c r="O8" s="453"/>
      <c r="P8" s="5"/>
      <c r="Q8" s="312"/>
    </row>
    <row r="9" spans="1:19" ht="15.95" customHeight="1" thickTop="1" thickBot="1">
      <c r="A9" s="453"/>
      <c r="B9" s="453">
        <v>6</v>
      </c>
      <c r="C9" s="454">
        <v>28</v>
      </c>
      <c r="D9" s="455">
        <f>3.14*(C9/10)^2/4</f>
        <v>6.1543999999999999</v>
      </c>
      <c r="E9" s="453">
        <f>B9*D9</f>
        <v>36.926400000000001</v>
      </c>
      <c r="F9" s="470">
        <v>22</v>
      </c>
      <c r="G9" s="470">
        <v>48</v>
      </c>
      <c r="H9" s="453">
        <f t="shared" ref="H9:H15" si="0">0.75*F9</f>
        <v>16.5</v>
      </c>
      <c r="I9" s="453">
        <f>0.17*D2</f>
        <v>850.00000000000011</v>
      </c>
      <c r="J9" s="453">
        <f t="shared" ref="J9:J15" si="1">H9*1000/E9</f>
        <v>446.83478486936173</v>
      </c>
      <c r="K9" s="456" t="str">
        <f t="shared" ref="K9:K15" si="2">IF(J9&gt;I9,"&gt;Fv  NG","&lt;Fv  OK")</f>
        <v>&lt;Fv  OK</v>
      </c>
      <c r="L9" s="455">
        <f>0.43*D2-1.8*J9</f>
        <v>1345.6973872351489</v>
      </c>
      <c r="M9" s="455">
        <f>MIN(L9,J5)</f>
        <v>1345.6973872351489</v>
      </c>
      <c r="N9" s="455">
        <f t="shared" ref="N9:N15" si="3">G9*1000/E9</f>
        <v>1299.8830105290524</v>
      </c>
      <c r="O9" s="456" t="str">
        <f t="shared" ref="O9:O15" si="4">IF(N9&lt;M9,"&lt;Ft  ok","&gt;Ft  NG")</f>
        <v>&lt;Ft  ok</v>
      </c>
      <c r="P9" s="5"/>
      <c r="Q9" s="312"/>
    </row>
    <row r="10" spans="1:19" ht="15.95" customHeight="1" thickTop="1" thickBot="1">
      <c r="A10" s="467"/>
      <c r="B10" s="467"/>
      <c r="C10" s="468"/>
      <c r="D10" s="469"/>
      <c r="E10" s="467"/>
      <c r="F10" s="467"/>
      <c r="G10" s="467"/>
      <c r="H10" s="467"/>
      <c r="I10" s="467"/>
      <c r="J10" s="467"/>
      <c r="K10" s="468"/>
      <c r="L10" s="469"/>
      <c r="M10" s="469"/>
      <c r="N10" s="469"/>
      <c r="O10" s="468"/>
      <c r="P10" s="5"/>
      <c r="Q10" s="312"/>
    </row>
    <row r="11" spans="1:19" ht="15.95" customHeight="1" thickTop="1" thickBot="1">
      <c r="A11" s="453"/>
      <c r="B11" s="453">
        <v>8</v>
      </c>
      <c r="C11" s="454">
        <v>30</v>
      </c>
      <c r="D11" s="455">
        <f>3.14*(C11/10)^2/4</f>
        <v>7.0650000000000004</v>
      </c>
      <c r="E11" s="453">
        <f>B11*D11</f>
        <v>56.52</v>
      </c>
      <c r="F11" s="470">
        <v>17</v>
      </c>
      <c r="G11" s="470">
        <v>86</v>
      </c>
      <c r="H11" s="453">
        <f t="shared" si="0"/>
        <v>12.75</v>
      </c>
      <c r="I11" s="453">
        <f>0.17*D2</f>
        <v>850.00000000000011</v>
      </c>
      <c r="J11" s="453">
        <f t="shared" si="1"/>
        <v>225.58386411889595</v>
      </c>
      <c r="K11" s="456" t="str">
        <f t="shared" si="2"/>
        <v>&lt;Fv  OK</v>
      </c>
      <c r="L11" s="455">
        <f>0.43*D2-1.8*J11</f>
        <v>1743.9490445859874</v>
      </c>
      <c r="M11" s="455">
        <f>MIN(L11,J5)</f>
        <v>1650</v>
      </c>
      <c r="N11" s="455">
        <f t="shared" si="3"/>
        <v>1521.585279547063</v>
      </c>
      <c r="O11" s="456" t="str">
        <f t="shared" si="4"/>
        <v>&lt;Ft  ok</v>
      </c>
      <c r="P11" s="5"/>
      <c r="Q11" s="312"/>
    </row>
    <row r="12" spans="1:19" ht="15.95" customHeight="1" thickTop="1" thickBot="1">
      <c r="A12" s="467"/>
      <c r="B12" s="467"/>
      <c r="C12" s="468"/>
      <c r="D12" s="469"/>
      <c r="E12" s="467"/>
      <c r="F12" s="467"/>
      <c r="G12" s="467"/>
      <c r="H12" s="467"/>
      <c r="I12" s="467"/>
      <c r="J12" s="467"/>
      <c r="K12" s="468"/>
      <c r="L12" s="469"/>
      <c r="M12" s="469"/>
      <c r="N12" s="469"/>
      <c r="O12" s="468"/>
      <c r="P12" s="5"/>
      <c r="Q12" s="312"/>
    </row>
    <row r="13" spans="1:19" ht="15.95" customHeight="1" thickTop="1" thickBot="1">
      <c r="A13" s="453"/>
      <c r="B13" s="453">
        <v>34</v>
      </c>
      <c r="C13" s="454">
        <v>32</v>
      </c>
      <c r="D13" s="455">
        <f>3.14*(C13/10)^2/4</f>
        <v>8.0384000000000011</v>
      </c>
      <c r="E13" s="453">
        <f>B13*D13</f>
        <v>273.30560000000003</v>
      </c>
      <c r="F13" s="470">
        <v>110</v>
      </c>
      <c r="G13" s="470">
        <v>451</v>
      </c>
      <c r="H13" s="453">
        <f t="shared" si="0"/>
        <v>82.5</v>
      </c>
      <c r="I13" s="453">
        <f>0.17*D2</f>
        <v>850.00000000000011</v>
      </c>
      <c r="J13" s="453">
        <f t="shared" si="1"/>
        <v>301.85989602847508</v>
      </c>
      <c r="K13" s="456" t="str">
        <f t="shared" si="2"/>
        <v>&lt;Fv  OK</v>
      </c>
      <c r="L13" s="455">
        <f>0.43*D2-1.8*J13</f>
        <v>1606.6521871487448</v>
      </c>
      <c r="M13" s="455">
        <f>MIN(L13,J5)</f>
        <v>1606.6521871487448</v>
      </c>
      <c r="N13" s="455">
        <f t="shared" si="3"/>
        <v>1650.1674316223302</v>
      </c>
      <c r="O13" s="456" t="str">
        <f t="shared" si="4"/>
        <v>&gt;Ft  NG</v>
      </c>
      <c r="P13" s="5"/>
      <c r="Q13" s="312"/>
    </row>
    <row r="14" spans="1:19" ht="15.95" customHeight="1" thickTop="1" thickBot="1">
      <c r="A14" s="467"/>
      <c r="B14" s="467"/>
      <c r="C14" s="468"/>
      <c r="D14" s="469"/>
      <c r="E14" s="467"/>
      <c r="F14" s="467"/>
      <c r="G14" s="467"/>
      <c r="H14" s="467"/>
      <c r="I14" s="467"/>
      <c r="J14" s="467"/>
      <c r="K14" s="468"/>
      <c r="L14" s="469"/>
      <c r="M14" s="469"/>
      <c r="N14" s="469"/>
      <c r="O14" s="468"/>
      <c r="P14" s="5"/>
      <c r="Q14" s="312"/>
    </row>
    <row r="15" spans="1:19" ht="15.95" customHeight="1" thickTop="1" thickBot="1">
      <c r="A15" s="453"/>
      <c r="B15" s="453">
        <v>6</v>
      </c>
      <c r="C15" s="454">
        <v>30</v>
      </c>
      <c r="D15" s="455">
        <f>3.14*(C15/10)^2/4</f>
        <v>7.0650000000000004</v>
      </c>
      <c r="E15" s="453">
        <f>B15*D15</f>
        <v>42.39</v>
      </c>
      <c r="F15" s="470">
        <v>16</v>
      </c>
      <c r="G15" s="470">
        <v>67</v>
      </c>
      <c r="H15" s="453">
        <f t="shared" si="0"/>
        <v>12</v>
      </c>
      <c r="I15" s="453">
        <f>0.17*D2</f>
        <v>850.00000000000011</v>
      </c>
      <c r="J15" s="453">
        <f t="shared" si="1"/>
        <v>283.08563340410473</v>
      </c>
      <c r="K15" s="456" t="str">
        <f t="shared" si="2"/>
        <v>&lt;Fv  OK</v>
      </c>
      <c r="L15" s="455">
        <f>0.43*D2-1.8*J15</f>
        <v>1640.4458598726114</v>
      </c>
      <c r="M15" s="455">
        <f>MIN(L15,J5)</f>
        <v>1640.4458598726114</v>
      </c>
      <c r="N15" s="455">
        <f t="shared" si="3"/>
        <v>1580.5614531729182</v>
      </c>
      <c r="O15" s="456" t="str">
        <f t="shared" si="4"/>
        <v>&lt;Ft  ok</v>
      </c>
      <c r="P15" s="8"/>
      <c r="Q15" s="312"/>
    </row>
    <row r="16" spans="1:19" ht="15.95" customHeight="1" thickTop="1" thickBot="1">
      <c r="A16" s="467"/>
      <c r="B16" s="467"/>
      <c r="C16" s="468"/>
      <c r="D16" s="469"/>
      <c r="E16" s="467"/>
      <c r="F16" s="467"/>
      <c r="G16" s="467"/>
      <c r="H16" s="467"/>
      <c r="I16" s="467"/>
      <c r="J16" s="467"/>
      <c r="K16" s="468"/>
      <c r="L16" s="469"/>
      <c r="M16" s="469"/>
      <c r="N16" s="469"/>
      <c r="O16" s="468"/>
      <c r="P16" s="8"/>
      <c r="Q16" s="312"/>
    </row>
    <row r="17" spans="1:18" ht="15.95" customHeight="1" thickTop="1" thickBot="1">
      <c r="A17" s="453"/>
      <c r="B17" s="453">
        <v>12</v>
      </c>
      <c r="C17" s="454">
        <v>28</v>
      </c>
      <c r="D17" s="455">
        <f>3.14*(C17/10)^2/4</f>
        <v>6.1543999999999999</v>
      </c>
      <c r="E17" s="453">
        <f>B17*D17</f>
        <v>73.852800000000002</v>
      </c>
      <c r="F17" s="470">
        <v>77.7</v>
      </c>
      <c r="G17" s="470">
        <v>34.5</v>
      </c>
      <c r="H17" s="453">
        <f>0.75*F17</f>
        <v>58.275000000000006</v>
      </c>
      <c r="I17" s="453">
        <f>0.17*D2</f>
        <v>850.00000000000011</v>
      </c>
      <c r="J17" s="453">
        <f>H17*1000/E17</f>
        <v>789.06960873521393</v>
      </c>
      <c r="K17" s="456" t="str">
        <f>IF(J17&gt;I17,"&gt;Fv  NG","&lt;Fv  OK")</f>
        <v>&lt;Fv  OK</v>
      </c>
      <c r="L17" s="455">
        <f>0.43*D2-1.8*J17</f>
        <v>729.67470427661488</v>
      </c>
      <c r="M17" s="455">
        <f>MIN(L17,J10)</f>
        <v>729.67470427661488</v>
      </c>
      <c r="N17" s="455">
        <f>G17*1000/E17</f>
        <v>467.1454569088782</v>
      </c>
      <c r="O17" s="456" t="str">
        <f>IF(N17&lt;M17,"&lt;Ft  ok","&gt;Ft  NG")</f>
        <v>&lt;Ft  ok</v>
      </c>
      <c r="P17" s="8"/>
      <c r="Q17" s="312"/>
    </row>
    <row r="18" spans="1:18" ht="15.95" customHeight="1" thickTop="1" thickBot="1">
      <c r="A18" s="467"/>
      <c r="B18" s="467"/>
      <c r="C18" s="468"/>
      <c r="D18" s="469"/>
      <c r="E18" s="467"/>
      <c r="F18" s="467"/>
      <c r="G18" s="467"/>
      <c r="H18" s="467"/>
      <c r="I18" s="467"/>
      <c r="J18" s="467"/>
      <c r="K18" s="468"/>
      <c r="L18" s="469"/>
      <c r="M18" s="469"/>
      <c r="N18" s="469"/>
      <c r="O18" s="468"/>
      <c r="P18" s="8"/>
      <c r="Q18" s="312"/>
    </row>
    <row r="19" spans="1:18" ht="15.95" customHeight="1" thickTop="1" thickBot="1">
      <c r="A19" s="453"/>
      <c r="B19" s="453">
        <v>6</v>
      </c>
      <c r="C19" s="454">
        <v>25</v>
      </c>
      <c r="D19" s="455">
        <f>3.14*(C19/10)^2/4</f>
        <v>4.90625</v>
      </c>
      <c r="E19" s="453">
        <f>B19*D19</f>
        <v>29.4375</v>
      </c>
      <c r="F19" s="470">
        <v>1</v>
      </c>
      <c r="G19" s="470">
        <v>10</v>
      </c>
      <c r="H19" s="453">
        <f>0.75*F19</f>
        <v>0.75</v>
      </c>
      <c r="I19" s="453">
        <f>0.17*D2</f>
        <v>850.00000000000011</v>
      </c>
      <c r="J19" s="453">
        <f>H19*1000/E19</f>
        <v>25.477707006369428</v>
      </c>
      <c r="K19" s="456" t="str">
        <f>IF(J19&gt;I19,"&gt;Fv  NG","&lt;Fv  OK")</f>
        <v>&lt;Fv  OK</v>
      </c>
      <c r="L19" s="455">
        <f>0.43*D2-1.8*J19</f>
        <v>2104.1401273885349</v>
      </c>
      <c r="M19" s="455">
        <f>MIN(L19,J12)</f>
        <v>2104.1401273885349</v>
      </c>
      <c r="N19" s="455">
        <f>G19*1000/E19</f>
        <v>339.70276008492567</v>
      </c>
      <c r="O19" s="456" t="str">
        <f>IF(N19&lt;M19,"&lt;Ft  ok","&gt;Ft  NG")</f>
        <v>&lt;Ft  ok</v>
      </c>
      <c r="P19" s="8"/>
      <c r="Q19" s="312"/>
    </row>
    <row r="20" spans="1:18" ht="15.95" customHeight="1" thickTop="1" thickBot="1">
      <c r="A20" s="467"/>
      <c r="B20" s="467"/>
      <c r="C20" s="468"/>
      <c r="D20" s="469"/>
      <c r="E20" s="467"/>
      <c r="F20" s="467"/>
      <c r="G20" s="467"/>
      <c r="H20" s="467"/>
      <c r="I20" s="467"/>
      <c r="J20" s="467"/>
      <c r="K20" s="468"/>
      <c r="L20" s="469"/>
      <c r="M20" s="469"/>
      <c r="N20" s="469"/>
      <c r="O20" s="468"/>
      <c r="P20" s="8"/>
      <c r="Q20" s="312"/>
    </row>
    <row r="21" spans="1:18" ht="15.95" customHeight="1" thickTop="1" thickBot="1">
      <c r="A21" s="453"/>
      <c r="B21" s="453"/>
      <c r="C21" s="454"/>
      <c r="D21" s="455"/>
      <c r="E21" s="453"/>
      <c r="F21" s="470"/>
      <c r="G21" s="470"/>
      <c r="H21" s="453"/>
      <c r="I21" s="453"/>
      <c r="J21" s="453"/>
      <c r="K21" s="456"/>
      <c r="L21" s="455"/>
      <c r="M21" s="455"/>
      <c r="N21" s="455"/>
      <c r="O21" s="456"/>
      <c r="P21" s="8"/>
      <c r="Q21" s="312"/>
    </row>
    <row r="22" spans="1:18" ht="15.95" customHeight="1" thickTop="1">
      <c r="A22" s="377"/>
      <c r="P22" s="8"/>
      <c r="Q22" s="312"/>
    </row>
    <row r="23" spans="1:18" ht="15.95" customHeight="1">
      <c r="A23" s="246"/>
      <c r="P23" s="8"/>
      <c r="Q23" s="312"/>
    </row>
    <row r="24" spans="1:18" ht="15.95" customHeight="1">
      <c r="A24" s="457"/>
      <c r="B24" s="20"/>
      <c r="C24" s="18"/>
      <c r="D24" s="452"/>
      <c r="E24" s="20"/>
      <c r="F24" s="20"/>
      <c r="G24" s="20"/>
      <c r="H24" s="20"/>
      <c r="I24" s="20"/>
      <c r="J24" s="20"/>
      <c r="K24" s="43"/>
      <c r="L24" s="452"/>
      <c r="M24" s="452"/>
      <c r="N24" s="452"/>
      <c r="O24" s="43"/>
      <c r="P24" s="8"/>
      <c r="Q24" s="312"/>
    </row>
    <row r="25" spans="1:18" ht="15.95" customHeight="1" thickBot="1">
      <c r="A25" s="458"/>
      <c r="B25" s="459"/>
      <c r="C25" s="460"/>
      <c r="D25" s="461"/>
      <c r="E25" s="459"/>
      <c r="F25" s="459"/>
      <c r="G25" s="459"/>
      <c r="H25" s="459"/>
      <c r="I25" s="459"/>
      <c r="J25" s="459"/>
      <c r="K25" s="462"/>
      <c r="L25" s="461"/>
      <c r="M25" s="461"/>
      <c r="N25" s="461"/>
      <c r="O25" s="462"/>
      <c r="P25" s="463"/>
      <c r="Q25" s="329"/>
    </row>
    <row r="26" spans="1:18" ht="15.95" customHeight="1" thickTop="1">
      <c r="A26" s="20"/>
      <c r="B26" s="20"/>
      <c r="C26" s="18"/>
      <c r="D26" s="452"/>
      <c r="E26" s="20"/>
      <c r="F26" s="20"/>
      <c r="G26" s="20"/>
      <c r="H26" s="20"/>
      <c r="I26" s="20"/>
      <c r="J26" s="20"/>
      <c r="K26" s="43"/>
      <c r="L26" s="452"/>
      <c r="M26" s="452"/>
      <c r="N26" s="452"/>
      <c r="O26" s="43"/>
      <c r="P26" s="8"/>
      <c r="Q26" s="5"/>
      <c r="R26" s="5"/>
    </row>
    <row r="27" spans="1:18" ht="15.95" customHeight="1">
      <c r="A27" s="20"/>
      <c r="B27" s="20"/>
      <c r="C27" s="18"/>
      <c r="D27" s="452"/>
      <c r="E27" s="20"/>
      <c r="F27" s="20"/>
      <c r="G27" s="20"/>
      <c r="H27" s="20"/>
      <c r="I27" s="20"/>
      <c r="J27" s="20"/>
      <c r="K27" s="43"/>
      <c r="L27" s="452"/>
      <c r="M27" s="452"/>
      <c r="N27" s="452"/>
      <c r="O27" s="43"/>
      <c r="P27" s="8"/>
      <c r="Q27" s="5"/>
      <c r="R27" s="5"/>
    </row>
    <row r="28" spans="1:18" ht="15.95" customHeight="1">
      <c r="A28" s="20"/>
      <c r="B28" s="20"/>
      <c r="C28" s="18"/>
      <c r="D28" s="452"/>
      <c r="E28" s="20"/>
      <c r="F28" s="20"/>
      <c r="G28" s="20"/>
      <c r="H28" s="20"/>
      <c r="I28" s="20"/>
      <c r="J28" s="20"/>
      <c r="K28" s="43"/>
      <c r="L28" s="452"/>
      <c r="M28" s="452"/>
      <c r="N28" s="452"/>
      <c r="O28" s="43"/>
      <c r="P28" s="8"/>
      <c r="Q28" s="5"/>
      <c r="R28" s="5"/>
    </row>
    <row r="29" spans="1:18" ht="15.95" customHeight="1">
      <c r="A29" s="20"/>
      <c r="B29" s="20"/>
      <c r="C29" s="18"/>
      <c r="D29" s="452"/>
      <c r="E29" s="20"/>
      <c r="F29" s="20"/>
      <c r="G29" s="20"/>
      <c r="H29" s="20"/>
      <c r="I29" s="20"/>
      <c r="J29" s="20"/>
      <c r="K29" s="43"/>
      <c r="L29" s="452"/>
      <c r="M29" s="452"/>
      <c r="N29" s="452"/>
      <c r="O29" s="43"/>
      <c r="P29" s="8"/>
      <c r="Q29" s="5"/>
      <c r="R29" s="5"/>
    </row>
    <row r="30" spans="1:18" ht="15.95" customHeight="1">
      <c r="A30" s="20"/>
      <c r="B30" s="20"/>
      <c r="C30" s="18"/>
      <c r="D30" s="452"/>
      <c r="E30" s="20"/>
      <c r="F30" s="20"/>
      <c r="G30" s="20"/>
      <c r="H30" s="20"/>
      <c r="I30" s="20"/>
      <c r="J30" s="20"/>
      <c r="K30" s="43"/>
      <c r="L30" s="452"/>
      <c r="M30" s="452"/>
      <c r="N30" s="452"/>
      <c r="O30" s="43"/>
      <c r="P30" s="8"/>
      <c r="Q30" s="5"/>
      <c r="R30" s="5"/>
    </row>
    <row r="31" spans="1:18" ht="20.100000000000001" customHeight="1">
      <c r="A31" s="18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</row>
    <row r="32" spans="1:18" ht="20.100000000000001" customHeight="1">
      <c r="A32" s="185"/>
      <c r="B32" s="185"/>
      <c r="C32" s="185"/>
      <c r="D32" s="6"/>
      <c r="E32" s="238"/>
      <c r="F32" s="185"/>
      <c r="G32" s="18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</row>
    <row r="33" spans="1:18" ht="20.100000000000001" customHeight="1">
      <c r="A33" s="185"/>
      <c r="B33" s="185"/>
      <c r="C33" s="185"/>
      <c r="D33" s="6"/>
      <c r="E33" s="238"/>
      <c r="F33" s="185"/>
      <c r="G33" s="5"/>
      <c r="H33" s="5"/>
      <c r="I33" s="185"/>
      <c r="J33" s="6"/>
      <c r="K33" s="6"/>
      <c r="L33" s="6"/>
      <c r="M33" s="6"/>
      <c r="N33" s="6"/>
      <c r="O33" s="6"/>
      <c r="P33" s="6"/>
      <c r="Q33" s="6"/>
      <c r="R33" s="6"/>
    </row>
    <row r="34" spans="1:18" ht="20.100000000000001" customHeight="1">
      <c r="A34" s="6"/>
      <c r="I34" s="185"/>
      <c r="J34" s="6"/>
      <c r="K34" s="6"/>
      <c r="L34" s="6"/>
      <c r="M34" s="6"/>
      <c r="N34" s="6"/>
      <c r="O34" s="6"/>
      <c r="P34" s="3"/>
      <c r="Q34" s="3"/>
      <c r="R34" s="3"/>
    </row>
    <row r="35" spans="1:18" ht="20.100000000000001" customHeight="1">
      <c r="A35" s="172"/>
      <c r="B35" s="172"/>
      <c r="C35" s="163"/>
      <c r="D35" s="227"/>
      <c r="E35" s="6"/>
      <c r="F35" s="238"/>
      <c r="G35" s="185"/>
      <c r="H35" s="185"/>
      <c r="I35" s="185"/>
      <c r="J35" s="6"/>
      <c r="K35" s="6"/>
      <c r="L35" s="6"/>
      <c r="M35" s="6"/>
      <c r="N35" s="6"/>
      <c r="O35" s="6"/>
      <c r="P35" s="3"/>
      <c r="Q35" s="3"/>
      <c r="R35" s="3"/>
    </row>
    <row r="36" spans="1:18" ht="20.100000000000001" customHeight="1">
      <c r="A36" s="334"/>
      <c r="B36" s="331"/>
      <c r="C36" s="172"/>
      <c r="D36" s="238"/>
      <c r="E36" s="185"/>
      <c r="F36" s="6"/>
      <c r="G36" s="6"/>
      <c r="H36" s="6"/>
      <c r="I36" s="185"/>
      <c r="J36" s="6"/>
      <c r="K36" s="6"/>
      <c r="L36" s="6"/>
      <c r="M36" s="6"/>
      <c r="N36" s="6"/>
      <c r="O36" s="6"/>
      <c r="P36" s="3"/>
      <c r="Q36" s="3"/>
      <c r="R36" s="3"/>
    </row>
    <row r="37" spans="1:18" ht="20.100000000000001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3"/>
      <c r="Q37" s="3"/>
      <c r="R37" s="3"/>
    </row>
    <row r="38" spans="1:18" ht="20.100000000000001" customHeight="1">
      <c r="A38" s="6"/>
      <c r="B38" s="172"/>
      <c r="C38" s="332"/>
      <c r="D38" s="163"/>
      <c r="E38" s="185"/>
      <c r="F38" s="209"/>
      <c r="G38" s="6"/>
      <c r="H38" s="3"/>
      <c r="I38" s="3"/>
      <c r="J38" s="238"/>
      <c r="K38" s="185"/>
      <c r="L38" s="6"/>
      <c r="M38" s="6"/>
      <c r="N38" s="6"/>
      <c r="O38" s="6"/>
      <c r="P38" s="3"/>
      <c r="Q38" s="3"/>
      <c r="R38" s="3"/>
    </row>
    <row r="39" spans="1:18" ht="20.100000000000001" customHeight="1">
      <c r="A39" s="172"/>
      <c r="B39" s="331"/>
      <c r="C39" s="172"/>
      <c r="D39" s="238"/>
      <c r="E39" s="185"/>
      <c r="F39" s="6"/>
      <c r="G39" s="6"/>
      <c r="H39" s="6"/>
      <c r="I39" s="185"/>
      <c r="J39" s="6"/>
      <c r="L39" s="6"/>
      <c r="M39" s="6"/>
      <c r="N39" s="6"/>
      <c r="O39" s="6"/>
      <c r="P39" s="3"/>
      <c r="Q39" s="3"/>
      <c r="R39" s="3"/>
    </row>
    <row r="40" spans="1:18" ht="20.100000000000001" customHeight="1">
      <c r="A40" s="335"/>
      <c r="K40" s="6"/>
      <c r="L40" s="6"/>
      <c r="M40" s="6"/>
      <c r="N40" s="6"/>
      <c r="O40" s="6"/>
      <c r="P40" s="3"/>
      <c r="Q40" s="3"/>
      <c r="R40" s="3"/>
    </row>
    <row r="41" spans="1:18" ht="20.100000000000001" customHeight="1">
      <c r="A41" s="185"/>
      <c r="B41" s="6"/>
      <c r="C41" s="6"/>
      <c r="D41" s="185"/>
      <c r="E41" s="185"/>
      <c r="F41" s="185"/>
      <c r="G41" s="6"/>
      <c r="H41" s="6"/>
      <c r="I41" s="6"/>
      <c r="J41" s="6"/>
      <c r="K41" s="6"/>
      <c r="L41" s="6"/>
      <c r="M41" s="6"/>
      <c r="N41" s="6"/>
      <c r="O41" s="6"/>
      <c r="P41" s="3"/>
      <c r="Q41" s="3"/>
      <c r="R41" s="3"/>
    </row>
    <row r="42" spans="1:18" ht="20.100000000000001" customHeight="1">
      <c r="A42" s="185"/>
      <c r="B42" s="6"/>
      <c r="C42" s="6"/>
      <c r="D42" s="6"/>
      <c r="E42" s="6"/>
      <c r="F42" s="6"/>
      <c r="G42" s="6"/>
      <c r="H42" s="6"/>
      <c r="I42" s="185"/>
      <c r="J42" s="6"/>
      <c r="K42" s="6"/>
      <c r="L42" s="6"/>
      <c r="M42" s="6"/>
      <c r="N42" s="6"/>
      <c r="O42" s="6"/>
      <c r="P42" s="3"/>
      <c r="Q42" s="3"/>
      <c r="R42" s="3"/>
    </row>
    <row r="43" spans="1:18" ht="20.100000000000001" customHeight="1">
      <c r="A43" s="18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3"/>
      <c r="Q43" s="3"/>
      <c r="R43" s="3"/>
    </row>
    <row r="44" spans="1:18" ht="20.100000000000001" customHeight="1">
      <c r="A44" s="6"/>
      <c r="B44" s="6"/>
      <c r="C44" s="6"/>
      <c r="D44" s="6"/>
      <c r="E44" s="6"/>
      <c r="F44" s="6"/>
      <c r="G44" s="6"/>
      <c r="H44" s="185"/>
      <c r="I44" s="6"/>
      <c r="J44" s="6"/>
      <c r="K44" s="6"/>
      <c r="L44" s="6"/>
      <c r="M44" s="6"/>
      <c r="N44" s="6"/>
      <c r="O44" s="6"/>
      <c r="P44" s="3"/>
      <c r="Q44" s="3"/>
      <c r="R44" s="3"/>
    </row>
    <row r="45" spans="1:18" ht="20.100000000000001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3"/>
      <c r="Q45" s="3"/>
      <c r="R45" s="3"/>
    </row>
    <row r="46" spans="1:18" ht="20.100000000000001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3"/>
      <c r="Q46" s="3"/>
      <c r="R46" s="3"/>
    </row>
    <row r="47" spans="1:18" ht="20.100000000000001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"/>
      <c r="Q47" s="3"/>
      <c r="R47" s="3"/>
    </row>
    <row r="48" spans="1:18" ht="20.100000000000001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"/>
      <c r="Q48" s="3"/>
      <c r="R48" s="3"/>
    </row>
    <row r="49" spans="1:18" ht="20.100000000000001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"/>
      <c r="Q49" s="3"/>
      <c r="R49" s="3"/>
    </row>
    <row r="50" spans="1:18" ht="20.100000000000001" customHeight="1">
      <c r="A50" s="6"/>
      <c r="B50" s="6"/>
      <c r="C50" s="6"/>
      <c r="D50" s="6"/>
      <c r="E50" s="6"/>
      <c r="F50" s="6"/>
      <c r="G50" s="6"/>
      <c r="H50" s="6"/>
      <c r="I50" s="6"/>
      <c r="J50" s="331"/>
      <c r="K50" s="6"/>
      <c r="L50" s="6"/>
      <c r="M50" s="6"/>
      <c r="N50" s="6"/>
      <c r="O50" s="6"/>
      <c r="P50" s="3"/>
      <c r="Q50" s="3"/>
      <c r="R50" s="3"/>
    </row>
    <row r="51" spans="1:18" ht="20.100000000000001" customHeight="1">
      <c r="A51" s="6"/>
      <c r="B51" s="185"/>
      <c r="C51" s="185"/>
      <c r="D51" s="185"/>
      <c r="E51" s="185"/>
      <c r="F51" s="185"/>
      <c r="G51" s="6"/>
      <c r="H51" s="331"/>
      <c r="I51" s="6"/>
      <c r="J51" s="6"/>
      <c r="K51" s="6"/>
      <c r="L51" s="6"/>
      <c r="M51" s="6"/>
      <c r="N51" s="6"/>
      <c r="O51" s="6"/>
      <c r="P51" s="3"/>
      <c r="Q51" s="3"/>
      <c r="R51" s="3"/>
    </row>
    <row r="52" spans="1:18" ht="20.100000000000001" customHeight="1">
      <c r="A52" s="6"/>
      <c r="B52" s="185"/>
      <c r="C52" s="185"/>
      <c r="D52" s="185"/>
      <c r="E52" s="185"/>
      <c r="F52" s="185"/>
      <c r="G52" s="185"/>
      <c r="H52" s="6"/>
      <c r="I52" s="6"/>
      <c r="J52" s="6"/>
      <c r="K52" s="6"/>
      <c r="L52" s="6"/>
      <c r="M52" s="6"/>
      <c r="N52" s="6"/>
      <c r="O52" s="6"/>
      <c r="P52" s="3"/>
      <c r="Q52" s="3"/>
      <c r="R52" s="3"/>
    </row>
    <row r="53" spans="1:18" ht="20.100000000000001" customHeight="1">
      <c r="A53" s="6"/>
      <c r="B53" s="185"/>
      <c r="C53" s="185"/>
      <c r="D53" s="185"/>
      <c r="E53" s="3"/>
      <c r="F53" s="3"/>
      <c r="G53" s="3"/>
      <c r="H53" s="238"/>
      <c r="I53" s="185"/>
      <c r="J53" s="185"/>
      <c r="K53" s="6"/>
      <c r="L53" s="6"/>
      <c r="M53" s="6"/>
      <c r="N53" s="6"/>
      <c r="O53" s="6"/>
      <c r="P53" s="3"/>
      <c r="Q53" s="3"/>
      <c r="R53" s="3"/>
    </row>
    <row r="54" spans="1:18" ht="20.100000000000001" customHeight="1">
      <c r="A54" s="6"/>
      <c r="B54" s="185"/>
      <c r="C54" s="185"/>
      <c r="D54" s="185"/>
      <c r="E54" s="185"/>
      <c r="F54" s="185"/>
      <c r="G54" s="185"/>
      <c r="H54" s="6"/>
      <c r="I54" s="6"/>
      <c r="J54" s="6"/>
      <c r="K54" s="6"/>
      <c r="L54" s="6"/>
      <c r="M54" s="6"/>
      <c r="N54" s="6"/>
      <c r="O54" s="6"/>
      <c r="P54" s="3"/>
      <c r="Q54" s="3"/>
      <c r="R54" s="3"/>
    </row>
    <row r="55" spans="1:18" ht="20.100000000000001" customHeight="1">
      <c r="A55" s="6"/>
      <c r="B55" s="185"/>
      <c r="C55" s="185"/>
      <c r="D55" s="3"/>
      <c r="E55" s="3"/>
      <c r="F55" s="3"/>
      <c r="G55" s="238"/>
      <c r="H55" s="185"/>
      <c r="I55" s="333"/>
      <c r="J55" s="6"/>
      <c r="K55" s="6"/>
      <c r="L55" s="6"/>
      <c r="M55" s="6"/>
      <c r="N55" s="6"/>
      <c r="O55" s="6"/>
      <c r="P55" s="3"/>
      <c r="Q55" s="3"/>
      <c r="R55" s="3"/>
    </row>
    <row r="56" spans="1:18" ht="20.100000000000001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"/>
      <c r="Q56" s="3"/>
      <c r="R56" s="3"/>
    </row>
    <row r="57" spans="1:18" ht="20.100000000000001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8" ht="20.100000000000001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</sheetData>
  <phoneticPr fontId="83" type="noConversion"/>
  <pageMargins left="0.7" right="0.7" top="0.75" bottom="0.75" header="0.3" footer="0.3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D14" sqref="D14"/>
    </sheetView>
  </sheetViews>
  <sheetFormatPr defaultRowHeight="12.75"/>
  <cols>
    <col min="1" max="12" width="7.7109375" customWidth="1"/>
  </cols>
  <sheetData>
    <row r="1" spans="1:15" ht="20.100000000000001" customHeight="1" thickTop="1">
      <c r="A1" s="377"/>
      <c r="B1" s="344"/>
      <c r="C1" s="344"/>
      <c r="D1" s="344"/>
      <c r="E1" s="344"/>
      <c r="F1" s="344"/>
      <c r="G1" s="344"/>
      <c r="H1" s="344"/>
      <c r="I1" s="344"/>
      <c r="J1" s="344"/>
      <c r="K1" s="348"/>
      <c r="L1" s="5"/>
      <c r="M1" s="5"/>
      <c r="N1" s="5"/>
      <c r="O1" s="5"/>
    </row>
    <row r="2" spans="1:15" ht="20.100000000000001" customHeight="1">
      <c r="A2" s="165"/>
      <c r="B2" s="6"/>
      <c r="C2" s="6"/>
      <c r="D2" s="6"/>
      <c r="E2" s="6"/>
      <c r="F2" s="205"/>
      <c r="G2" s="5"/>
      <c r="H2" s="205"/>
      <c r="I2" s="190"/>
      <c r="J2" s="331" t="s">
        <v>269</v>
      </c>
      <c r="K2" s="312"/>
      <c r="L2" s="5"/>
      <c r="M2" s="5"/>
      <c r="N2" s="5"/>
      <c r="O2" s="5"/>
    </row>
    <row r="3" spans="1:15" ht="20.100000000000001" customHeight="1">
      <c r="A3" s="310"/>
      <c r="B3" s="172" t="s">
        <v>119</v>
      </c>
      <c r="C3" s="376">
        <v>4000</v>
      </c>
      <c r="D3" s="185" t="s">
        <v>121</v>
      </c>
      <c r="E3" s="185"/>
      <c r="F3" s="205"/>
      <c r="G3" s="205"/>
      <c r="H3" s="205"/>
      <c r="I3" s="185"/>
      <c r="J3" s="6"/>
      <c r="K3" s="312"/>
      <c r="L3" s="5"/>
      <c r="M3" s="5"/>
      <c r="N3" s="5"/>
      <c r="O3" s="5"/>
    </row>
    <row r="4" spans="1:15" ht="20.100000000000001" customHeight="1">
      <c r="A4" s="310"/>
      <c r="B4" s="172" t="s">
        <v>262</v>
      </c>
      <c r="C4" s="376">
        <v>240</v>
      </c>
      <c r="D4" s="185" t="s">
        <v>121</v>
      </c>
      <c r="E4" s="185"/>
      <c r="F4" s="185"/>
      <c r="G4" s="185"/>
      <c r="H4" s="185"/>
      <c r="I4" s="185"/>
      <c r="J4" s="6"/>
      <c r="K4" s="312"/>
      <c r="L4" s="5"/>
      <c r="M4" s="5"/>
      <c r="N4" s="5"/>
      <c r="O4" s="5"/>
    </row>
    <row r="5" spans="1:15" ht="20.100000000000001" customHeight="1">
      <c r="A5" s="310"/>
      <c r="B5" s="172" t="s">
        <v>263</v>
      </c>
      <c r="C5" s="376">
        <v>34</v>
      </c>
      <c r="D5" s="185" t="s">
        <v>264</v>
      </c>
      <c r="E5" s="185"/>
      <c r="F5" s="185"/>
      <c r="G5" s="185"/>
      <c r="H5" s="185"/>
      <c r="I5" s="185"/>
      <c r="J5" s="6"/>
      <c r="K5" s="312"/>
      <c r="L5" s="5"/>
      <c r="M5" s="5"/>
      <c r="N5" s="5"/>
      <c r="O5" s="5"/>
    </row>
    <row r="6" spans="1:15" ht="20.100000000000001" customHeight="1">
      <c r="A6" s="310"/>
      <c r="B6" s="185" t="s">
        <v>270</v>
      </c>
      <c r="C6" s="185"/>
      <c r="D6" s="5"/>
      <c r="E6" s="186">
        <f>3.15*(C4)^0.5</f>
        <v>48.799590162213455</v>
      </c>
      <c r="F6" s="185" t="s">
        <v>121</v>
      </c>
      <c r="G6" s="185"/>
      <c r="H6" s="185"/>
      <c r="I6" s="331"/>
      <c r="J6" s="6"/>
      <c r="K6" s="312"/>
      <c r="L6" s="5"/>
      <c r="M6" s="5"/>
      <c r="N6" s="5"/>
      <c r="O6" s="5"/>
    </row>
    <row r="7" spans="1:15" ht="20.100000000000001" customHeight="1">
      <c r="A7" s="310"/>
      <c r="B7" s="185" t="s">
        <v>271</v>
      </c>
      <c r="C7" s="185"/>
      <c r="D7" s="5"/>
      <c r="E7" s="186">
        <f>C5/10*C3/(4*E6)</f>
        <v>69.672716280979984</v>
      </c>
      <c r="F7" s="185" t="s">
        <v>24</v>
      </c>
      <c r="G7" s="5"/>
      <c r="H7" s="185"/>
      <c r="I7" s="185"/>
      <c r="J7" s="6"/>
      <c r="K7" s="312"/>
      <c r="L7" s="5"/>
      <c r="M7" s="5"/>
      <c r="N7" s="5"/>
      <c r="O7" s="5"/>
    </row>
    <row r="8" spans="1:15" ht="20.100000000000001" customHeight="1">
      <c r="A8" s="310"/>
      <c r="B8" s="5"/>
      <c r="C8" s="5"/>
      <c r="D8" s="5"/>
      <c r="E8" s="5"/>
      <c r="F8" s="5"/>
      <c r="G8" s="5"/>
      <c r="H8" s="185"/>
      <c r="I8" s="185"/>
      <c r="J8" s="6"/>
      <c r="K8" s="312"/>
      <c r="L8" s="5"/>
      <c r="M8" s="5"/>
      <c r="N8" s="5"/>
      <c r="O8" s="5"/>
    </row>
    <row r="9" spans="1:15" ht="20.100000000000001" customHeight="1">
      <c r="A9" s="246"/>
      <c r="B9" s="172" t="s">
        <v>265</v>
      </c>
      <c r="C9" s="227" t="s">
        <v>272</v>
      </c>
      <c r="D9" s="5"/>
      <c r="E9" s="186">
        <f>(12*(C5/10))+E7</f>
        <v>110.47271628097998</v>
      </c>
      <c r="F9" s="185" t="s">
        <v>70</v>
      </c>
      <c r="G9" s="5"/>
      <c r="H9" s="5"/>
      <c r="I9" s="185"/>
      <c r="J9" s="6"/>
      <c r="K9" s="312"/>
      <c r="L9" s="5"/>
      <c r="M9" s="5"/>
      <c r="N9" s="5"/>
      <c r="O9" s="5"/>
    </row>
    <row r="10" spans="1:15" ht="20.100000000000001" customHeight="1">
      <c r="A10" s="345"/>
      <c r="B10" s="331" t="s">
        <v>266</v>
      </c>
      <c r="C10" s="172" t="s">
        <v>114</v>
      </c>
      <c r="D10" s="186">
        <f>E9+15</f>
        <v>125.47271628097998</v>
      </c>
      <c r="E10" s="185" t="s">
        <v>70</v>
      </c>
      <c r="F10" s="5"/>
      <c r="G10" s="5"/>
      <c r="H10" s="5"/>
      <c r="I10" s="185"/>
      <c r="J10" s="6"/>
      <c r="K10" s="312"/>
      <c r="L10" s="5"/>
      <c r="M10" s="5"/>
      <c r="N10" s="5"/>
      <c r="O10" s="5"/>
    </row>
    <row r="11" spans="1:15" ht="20.100000000000001" customHeight="1">
      <c r="A11" s="346"/>
      <c r="B11" s="185"/>
      <c r="C11" s="5"/>
      <c r="D11" s="5"/>
      <c r="E11" s="5"/>
      <c r="F11" s="185"/>
      <c r="G11" s="185"/>
      <c r="H11" s="185"/>
      <c r="I11" s="185"/>
      <c r="J11" s="6"/>
      <c r="K11" s="312"/>
      <c r="L11" s="5"/>
      <c r="M11" s="5"/>
      <c r="N11" s="5"/>
      <c r="O11" s="5"/>
    </row>
    <row r="12" spans="1:15" ht="20.100000000000001" customHeight="1">
      <c r="A12" s="246"/>
      <c r="B12" s="5"/>
      <c r="C12" s="5"/>
      <c r="D12" s="5"/>
      <c r="E12" s="5"/>
      <c r="F12" s="5"/>
      <c r="G12" s="5"/>
      <c r="H12" s="5"/>
      <c r="I12" s="5"/>
      <c r="J12" s="5"/>
      <c r="K12" s="312"/>
      <c r="L12" s="5"/>
      <c r="M12" s="5"/>
      <c r="N12" s="5"/>
      <c r="O12" s="5"/>
    </row>
    <row r="13" spans="1:15" ht="20.100000000000001" customHeight="1">
      <c r="A13" s="246"/>
      <c r="B13" s="5"/>
      <c r="C13" s="5"/>
      <c r="D13" s="5"/>
      <c r="E13" s="5"/>
      <c r="F13" s="5"/>
      <c r="G13" s="5"/>
      <c r="H13" s="5"/>
      <c r="I13" s="5"/>
      <c r="J13" s="6"/>
      <c r="K13" s="312"/>
      <c r="L13" s="5"/>
      <c r="M13" s="5"/>
      <c r="N13" s="5" t="s">
        <v>322</v>
      </c>
      <c r="O13" s="5"/>
    </row>
    <row r="14" spans="1:15" ht="20.100000000000001" customHeight="1">
      <c r="A14" s="345"/>
      <c r="B14" s="5"/>
      <c r="C14" s="5"/>
      <c r="D14" s="5"/>
      <c r="E14" s="5"/>
      <c r="F14" s="5"/>
      <c r="G14" s="5"/>
      <c r="H14" s="5"/>
      <c r="I14" s="5"/>
      <c r="J14" s="5"/>
      <c r="K14" s="312"/>
      <c r="L14" s="5"/>
      <c r="M14" s="5"/>
      <c r="N14" s="5"/>
      <c r="O14" s="5"/>
    </row>
    <row r="15" spans="1:15" ht="20.100000000000001" customHeight="1">
      <c r="A15" s="347"/>
      <c r="K15" s="312"/>
      <c r="L15" s="5"/>
      <c r="M15" s="5"/>
      <c r="N15" s="5"/>
      <c r="O15" s="5"/>
    </row>
    <row r="16" spans="1:15" ht="20.100000000000001" customHeight="1">
      <c r="A16" s="310"/>
      <c r="K16" s="312"/>
      <c r="L16" s="5"/>
      <c r="M16" s="5"/>
      <c r="N16" s="5"/>
      <c r="O16" s="5"/>
    </row>
    <row r="17" spans="1:15" ht="20.100000000000001" customHeight="1">
      <c r="A17" s="310"/>
      <c r="B17" s="172" t="s">
        <v>267</v>
      </c>
      <c r="C17" s="332" t="s">
        <v>114</v>
      </c>
      <c r="D17" s="163" t="str">
        <f>IF(C5&gt;=25,"db≥25,4*db+max(65mm,4db)+ldb=",IF(C5&gt;=28,"db≥28 ,5*db+max(65mm,4db)+ldb=",IF(C5&gt;=36,"db≥36 ,6*db+max(65mm,4db)+ldb=")))</f>
        <v>db≥25,4*db+max(65mm,4db)+ldb=</v>
      </c>
      <c r="E17" s="60"/>
      <c r="F17" s="9"/>
      <c r="G17" s="5"/>
      <c r="H17" s="5"/>
      <c r="I17" s="186">
        <f>IF(C5&gt;=25,4*C5/10,IF(C5&gt;=28,5*C5/10,IF(C5&gt;=36,6*C5/10)))+(MAX(4*(C5/10),6.5))+E7</f>
        <v>96.872716280979986</v>
      </c>
      <c r="J17" s="185" t="s">
        <v>70</v>
      </c>
      <c r="K17" s="312"/>
      <c r="L17" s="5"/>
      <c r="M17" s="5"/>
      <c r="N17" s="5"/>
      <c r="O17" s="5"/>
    </row>
    <row r="18" spans="1:15" ht="20.100000000000001" customHeight="1">
      <c r="A18" s="310"/>
      <c r="B18" s="331" t="s">
        <v>266</v>
      </c>
      <c r="C18" s="172" t="s">
        <v>114</v>
      </c>
      <c r="D18" s="186">
        <f>I17+15</f>
        <v>111.87271628097999</v>
      </c>
      <c r="E18" s="185" t="s">
        <v>70</v>
      </c>
      <c r="F18" s="6"/>
      <c r="G18" s="6"/>
      <c r="H18" s="6"/>
      <c r="I18" s="185"/>
      <c r="J18" s="5"/>
      <c r="K18" s="312"/>
      <c r="L18" s="5"/>
      <c r="M18" s="5"/>
      <c r="N18" s="5"/>
      <c r="O18" s="5"/>
    </row>
    <row r="19" spans="1:15" ht="20.100000000000001" customHeight="1">
      <c r="A19" s="165"/>
      <c r="B19" s="6"/>
      <c r="C19" s="6"/>
      <c r="D19" s="6"/>
      <c r="E19" s="6"/>
      <c r="F19" s="6"/>
      <c r="G19" s="6"/>
      <c r="H19" s="185"/>
      <c r="I19" s="6"/>
      <c r="J19" s="5"/>
      <c r="K19" s="312"/>
      <c r="L19" s="5"/>
      <c r="M19" s="5"/>
      <c r="N19" s="5"/>
      <c r="O19" s="5"/>
    </row>
    <row r="20" spans="1:15" ht="20.100000000000001" customHeight="1">
      <c r="A20" s="246"/>
      <c r="B20" s="5"/>
      <c r="C20" s="5"/>
      <c r="D20" s="5"/>
      <c r="E20" s="5"/>
      <c r="F20" s="5"/>
      <c r="G20" s="5"/>
      <c r="H20" s="5"/>
      <c r="I20" s="5"/>
      <c r="J20" s="5"/>
      <c r="K20" s="312"/>
      <c r="L20" s="5"/>
      <c r="M20" s="5"/>
      <c r="N20" s="5"/>
      <c r="O20" s="5"/>
    </row>
    <row r="21" spans="1:15" ht="20.100000000000001" customHeight="1">
      <c r="A21" s="246"/>
      <c r="B21" s="5"/>
      <c r="C21" s="5"/>
      <c r="D21" s="5"/>
      <c r="E21" s="5"/>
      <c r="F21" s="5"/>
      <c r="G21" s="5"/>
      <c r="H21" s="5"/>
      <c r="I21" s="5"/>
      <c r="J21" s="5"/>
      <c r="K21" s="312"/>
      <c r="L21" s="5"/>
      <c r="M21" s="5"/>
      <c r="N21" s="5"/>
      <c r="O21" s="5"/>
    </row>
    <row r="22" spans="1:15" ht="20.100000000000001" customHeight="1">
      <c r="A22" s="246"/>
      <c r="B22" s="5"/>
      <c r="C22" s="5"/>
      <c r="D22" s="5"/>
      <c r="E22" s="5"/>
      <c r="F22" s="5"/>
      <c r="G22" s="5"/>
      <c r="H22" s="5"/>
      <c r="I22" s="5"/>
      <c r="J22" s="5"/>
      <c r="K22" s="312"/>
      <c r="L22" s="5"/>
      <c r="M22" s="5"/>
      <c r="N22" s="5"/>
      <c r="O22" s="5"/>
    </row>
    <row r="23" spans="1:15" ht="20.100000000000001" customHeight="1">
      <c r="A23" s="246"/>
      <c r="B23" s="5"/>
      <c r="C23" s="5"/>
      <c r="D23" s="5"/>
      <c r="E23" s="5"/>
      <c r="F23" s="5"/>
      <c r="G23" s="5"/>
      <c r="H23" s="5"/>
      <c r="I23" s="5"/>
      <c r="J23" s="5"/>
      <c r="K23" s="312"/>
      <c r="L23" s="5"/>
      <c r="M23" s="5"/>
      <c r="N23" s="5"/>
      <c r="O23" s="5"/>
    </row>
    <row r="24" spans="1:15" ht="20.100000000000001" customHeight="1">
      <c r="A24" s="246"/>
      <c r="B24" s="5"/>
      <c r="C24" s="5"/>
      <c r="D24" s="5"/>
      <c r="E24" s="5"/>
      <c r="F24" s="5"/>
      <c r="G24" s="5"/>
      <c r="H24" s="5"/>
      <c r="I24" s="5"/>
      <c r="J24" s="5"/>
      <c r="K24" s="312"/>
      <c r="L24" s="5"/>
      <c r="M24" s="5"/>
      <c r="N24" s="5"/>
      <c r="O24" s="5"/>
    </row>
    <row r="25" spans="1:15" ht="20.100000000000001" customHeight="1">
      <c r="A25" s="246"/>
      <c r="B25" s="5"/>
      <c r="C25" s="5"/>
      <c r="D25" s="5"/>
      <c r="E25" s="5"/>
      <c r="F25" s="5"/>
      <c r="G25" s="5"/>
      <c r="H25" s="5"/>
      <c r="I25" s="5"/>
      <c r="J25" s="5"/>
      <c r="K25" s="312"/>
      <c r="L25" s="5"/>
      <c r="M25" s="5"/>
      <c r="N25" s="5"/>
      <c r="O25" s="5"/>
    </row>
    <row r="26" spans="1:15" ht="20.100000000000001" customHeight="1">
      <c r="A26" s="246"/>
      <c r="B26" s="5"/>
      <c r="C26" s="5"/>
      <c r="D26" s="5"/>
      <c r="E26" s="5"/>
      <c r="F26" s="5"/>
      <c r="G26" s="5"/>
      <c r="H26" s="5"/>
      <c r="I26" s="5"/>
      <c r="J26" s="5"/>
      <c r="K26" s="312"/>
      <c r="L26" s="5"/>
      <c r="M26" s="5"/>
      <c r="N26" s="5"/>
      <c r="O26" s="5"/>
    </row>
    <row r="27" spans="1:15" ht="20.100000000000001" customHeight="1">
      <c r="A27" s="246"/>
      <c r="B27" s="5"/>
      <c r="C27" s="5"/>
      <c r="D27" s="5"/>
      <c r="E27" s="5"/>
      <c r="F27" s="5"/>
      <c r="G27" s="5"/>
      <c r="H27" s="5"/>
      <c r="I27" s="5"/>
      <c r="J27" s="5"/>
      <c r="K27" s="312"/>
      <c r="L27" s="5"/>
      <c r="M27" s="5"/>
      <c r="N27" s="5"/>
      <c r="O27" s="5"/>
    </row>
    <row r="28" spans="1:15" ht="20.100000000000001" customHeight="1">
      <c r="A28" s="246"/>
      <c r="B28" s="5"/>
      <c r="C28" s="5"/>
      <c r="D28" s="5"/>
      <c r="E28" s="5"/>
      <c r="F28" s="5"/>
      <c r="G28" s="5"/>
      <c r="H28" s="5"/>
      <c r="I28" s="5"/>
      <c r="J28" s="5"/>
      <c r="K28" s="312"/>
      <c r="N28" s="5"/>
      <c r="O28" s="5"/>
    </row>
    <row r="29" spans="1:15" ht="20.100000000000001" customHeight="1">
      <c r="A29" s="246"/>
      <c r="B29" s="5"/>
      <c r="C29" s="5"/>
      <c r="D29" s="5"/>
      <c r="E29" s="5"/>
      <c r="F29" s="5"/>
      <c r="G29" s="5"/>
      <c r="H29" s="5"/>
      <c r="I29" s="5"/>
      <c r="J29" s="5"/>
      <c r="K29" s="312"/>
      <c r="N29" s="5"/>
      <c r="O29" s="5"/>
    </row>
    <row r="30" spans="1:15" ht="20.100000000000001" customHeight="1" thickBot="1">
      <c r="A30" s="328"/>
      <c r="B30" s="304"/>
      <c r="C30" s="304"/>
      <c r="D30" s="304"/>
      <c r="E30" s="304"/>
      <c r="F30" s="304"/>
      <c r="G30" s="304"/>
      <c r="H30" s="304"/>
      <c r="I30" s="304"/>
      <c r="J30" s="304"/>
      <c r="K30" s="329"/>
      <c r="N30" s="5"/>
      <c r="O30" s="5"/>
    </row>
    <row r="31" spans="1:15" ht="20.100000000000001" customHeight="1" thickTop="1">
      <c r="N31" s="5"/>
      <c r="O31" s="5"/>
    </row>
    <row r="32" spans="1:15" ht="20.100000000000001" customHeight="1">
      <c r="N32" s="5"/>
      <c r="O32" s="5"/>
    </row>
    <row r="33" spans="1:15" ht="20.100000000000001" customHeight="1">
      <c r="N33" s="5"/>
      <c r="O33" s="5"/>
    </row>
    <row r="34" spans="1:15">
      <c r="N34" s="5"/>
      <c r="O34" s="5"/>
    </row>
    <row r="35" spans="1:15">
      <c r="N35" s="5"/>
      <c r="O35" s="5"/>
    </row>
    <row r="36" spans="1:15">
      <c r="N36" s="5"/>
      <c r="O36" s="5"/>
    </row>
    <row r="37" spans="1:15">
      <c r="N37" s="5"/>
      <c r="O37" s="5"/>
    </row>
    <row r="39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5" ht="21">
      <c r="A42" s="6"/>
      <c r="B42" s="6"/>
      <c r="C42" s="6"/>
      <c r="D42" s="6"/>
      <c r="E42" s="6"/>
      <c r="F42" s="6"/>
      <c r="G42" s="6"/>
      <c r="H42" s="6"/>
      <c r="I42" s="6"/>
      <c r="J42" s="331" t="s">
        <v>268</v>
      </c>
      <c r="K42" s="5"/>
      <c r="L42" s="5"/>
      <c r="M42" s="5"/>
    </row>
    <row r="43" spans="1:15" ht="21">
      <c r="A43" s="6"/>
      <c r="B43" s="185"/>
      <c r="C43" s="185"/>
      <c r="D43" s="185"/>
      <c r="E43" s="185"/>
      <c r="F43" s="185"/>
      <c r="G43" s="5"/>
      <c r="H43" s="331"/>
      <c r="I43" s="6"/>
      <c r="J43" s="6"/>
      <c r="K43" s="5"/>
      <c r="L43" s="5"/>
      <c r="M43" s="5"/>
    </row>
    <row r="44" spans="1:15" ht="15.75">
      <c r="A44" s="6"/>
      <c r="B44" s="185"/>
      <c r="C44" s="185"/>
      <c r="D44" s="185"/>
      <c r="E44" s="185"/>
      <c r="F44" s="185"/>
      <c r="G44" s="185"/>
      <c r="H44" s="6"/>
      <c r="I44" s="6"/>
      <c r="J44" s="6"/>
      <c r="K44" s="5"/>
      <c r="L44" s="5"/>
      <c r="M44" s="5"/>
    </row>
    <row r="45" spans="1:15" ht="15.75">
      <c r="A45" s="6"/>
      <c r="B45" s="180" t="str">
        <f>IF(C5&lt;25," db&lt;25   fbd=fbm=2.1(fc)^0.5=","db &gt;25  fbd=fbm.(25/db)^0.67=")</f>
        <v>db &gt;25  fbd=fbm.(25/db)^0.67=</v>
      </c>
      <c r="C45" s="185"/>
      <c r="D45" s="162"/>
      <c r="E45" s="5"/>
      <c r="F45" s="186">
        <f>IF(C5&gt;=25,2.1*(C4)^0.5*(25/C5)^0.67,2.1*(C4)^0.5)</f>
        <v>26.476089894448027</v>
      </c>
      <c r="G45" s="185" t="s">
        <v>121</v>
      </c>
      <c r="H45" s="6"/>
      <c r="I45" s="6"/>
      <c r="J45" s="6"/>
      <c r="K45" s="5"/>
      <c r="L45" s="5"/>
      <c r="M45" s="5"/>
    </row>
    <row r="46" spans="1:15" ht="15.75">
      <c r="A46" s="6"/>
      <c r="B46" s="185"/>
      <c r="C46" s="185"/>
      <c r="D46" s="185"/>
      <c r="E46" s="185"/>
      <c r="F46" s="185"/>
      <c r="G46" s="185"/>
      <c r="H46" s="6"/>
      <c r="I46" s="6"/>
      <c r="J46" s="6"/>
      <c r="K46" s="5"/>
      <c r="L46" s="5"/>
      <c r="M46" s="5"/>
    </row>
    <row r="47" spans="1:15" ht="15.75">
      <c r="A47" s="6"/>
      <c r="B47" s="185" t="s">
        <v>271</v>
      </c>
      <c r="C47" s="185"/>
      <c r="D47" s="5"/>
      <c r="E47" s="186">
        <f>C5/10*C3/(4*F45)</f>
        <v>128.41775403976749</v>
      </c>
      <c r="F47" s="185" t="s">
        <v>24</v>
      </c>
      <c r="G47" s="316" t="str">
        <f>IF(E47&gt;=30," &gt;30 O.K",N.G)</f>
        <v xml:space="preserve"> &gt;30 O.K</v>
      </c>
      <c r="H47" s="6"/>
      <c r="I47" s="6"/>
      <c r="J47" s="6"/>
      <c r="K47" s="5"/>
      <c r="L47" s="5"/>
      <c r="M47" s="5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5"/>
      <c r="L48" s="5"/>
      <c r="M48" s="5"/>
    </row>
    <row r="49" spans="1: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</sheetData>
  <phoneticPr fontId="8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1"/>
  <sheetViews>
    <sheetView topLeftCell="A31" workbookViewId="0">
      <selection activeCell="G10" sqref="G10"/>
    </sheetView>
  </sheetViews>
  <sheetFormatPr defaultRowHeight="12.75"/>
  <sheetData>
    <row r="1" spans="1:14" ht="15.75">
      <c r="A1" s="281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355"/>
    </row>
    <row r="2" spans="1:14" ht="15.75">
      <c r="A2" s="281"/>
      <c r="B2" s="281"/>
      <c r="C2" s="357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355"/>
    </row>
    <row r="3" spans="1:14" ht="15.75">
      <c r="A3" s="281"/>
      <c r="B3" s="282" t="s">
        <v>114</v>
      </c>
      <c r="C3" s="471">
        <v>7.44</v>
      </c>
      <c r="D3" s="281" t="s">
        <v>273</v>
      </c>
      <c r="E3" s="172" t="s">
        <v>281</v>
      </c>
      <c r="F3" s="472">
        <v>9</v>
      </c>
      <c r="H3" s="473">
        <v>2</v>
      </c>
      <c r="I3" s="282" t="s">
        <v>274</v>
      </c>
      <c r="J3" s="358">
        <v>25</v>
      </c>
      <c r="K3" s="281" t="s">
        <v>24</v>
      </c>
      <c r="L3" s="281"/>
      <c r="M3" s="281"/>
      <c r="N3" s="355"/>
    </row>
    <row r="4" spans="1:14" ht="15.75">
      <c r="A4" s="281"/>
      <c r="B4" s="282" t="s">
        <v>275</v>
      </c>
      <c r="C4" s="358">
        <v>800</v>
      </c>
      <c r="D4" s="281" t="s">
        <v>276</v>
      </c>
      <c r="E4" s="383" t="s">
        <v>335</v>
      </c>
      <c r="F4" s="472">
        <v>1</v>
      </c>
      <c r="H4" t="s">
        <v>370</v>
      </c>
      <c r="I4" s="282" t="s">
        <v>278</v>
      </c>
      <c r="J4" s="358">
        <v>5</v>
      </c>
      <c r="K4" s="281" t="s">
        <v>24</v>
      </c>
      <c r="L4" s="282" t="s">
        <v>279</v>
      </c>
      <c r="M4" s="473">
        <v>0.5</v>
      </c>
      <c r="N4" s="281" t="s">
        <v>273</v>
      </c>
    </row>
    <row r="5" spans="1:14" ht="15.75">
      <c r="A5" s="281"/>
      <c r="B5" s="172" t="s">
        <v>280</v>
      </c>
      <c r="C5" s="472">
        <v>200</v>
      </c>
      <c r="D5" s="185" t="s">
        <v>276</v>
      </c>
      <c r="E5" s="474" t="s">
        <v>189</v>
      </c>
      <c r="F5" s="475" t="s">
        <v>317</v>
      </c>
      <c r="H5" s="369"/>
      <c r="I5" s="282" t="s">
        <v>282</v>
      </c>
      <c r="J5" s="358">
        <v>2.5</v>
      </c>
      <c r="K5" s="281" t="s">
        <v>24</v>
      </c>
      <c r="L5" s="282" t="s">
        <v>135</v>
      </c>
      <c r="M5" s="473">
        <v>10</v>
      </c>
      <c r="N5" s="281" t="s">
        <v>24</v>
      </c>
    </row>
    <row r="6" spans="1:14" ht="15.75">
      <c r="B6" s="282" t="s">
        <v>262</v>
      </c>
      <c r="C6" s="358">
        <v>210</v>
      </c>
      <c r="D6" s="281" t="s">
        <v>121</v>
      </c>
      <c r="E6" s="474" t="s">
        <v>190</v>
      </c>
      <c r="F6" s="475" t="s">
        <v>318</v>
      </c>
      <c r="H6" s="281"/>
      <c r="I6" s="282" t="s">
        <v>287</v>
      </c>
      <c r="J6" s="476">
        <f>J3+J4</f>
        <v>30</v>
      </c>
      <c r="K6" s="281" t="s">
        <v>24</v>
      </c>
      <c r="L6" s="359" t="s">
        <v>288</v>
      </c>
      <c r="M6" s="477">
        <v>50</v>
      </c>
      <c r="N6" s="281" t="s">
        <v>24</v>
      </c>
    </row>
    <row r="7" spans="1:14" ht="15.75">
      <c r="A7" s="281"/>
      <c r="B7" s="282" t="s">
        <v>277</v>
      </c>
      <c r="C7" s="358">
        <v>3000</v>
      </c>
      <c r="D7" s="281" t="s">
        <v>121</v>
      </c>
      <c r="G7" s="281"/>
      <c r="H7" s="281"/>
      <c r="I7" s="282" t="s">
        <v>290</v>
      </c>
      <c r="J7" s="478">
        <f>C3/18.5*(0.4+C7/7000)*100</f>
        <v>33.322007722007719</v>
      </c>
      <c r="K7" s="281" t="s">
        <v>24</v>
      </c>
      <c r="L7" s="281"/>
      <c r="M7" s="281"/>
      <c r="N7" s="355"/>
    </row>
    <row r="8" spans="1:14" ht="16.5" thickBot="1">
      <c r="G8" s="281"/>
      <c r="H8" s="281"/>
      <c r="I8" s="282" t="s">
        <v>169</v>
      </c>
      <c r="J8" s="476">
        <f>J6-J5</f>
        <v>27.5</v>
      </c>
      <c r="K8" s="281" t="s">
        <v>24</v>
      </c>
      <c r="L8" s="281"/>
      <c r="M8" s="281"/>
      <c r="N8" s="355"/>
    </row>
    <row r="9" spans="1:14" ht="16.5" thickBot="1">
      <c r="B9" s="281" t="s">
        <v>283</v>
      </c>
      <c r="C9" s="479" t="s">
        <v>284</v>
      </c>
      <c r="D9" s="370" t="s">
        <v>285</v>
      </c>
      <c r="E9" s="371" t="s">
        <v>286</v>
      </c>
      <c r="F9" s="185"/>
      <c r="G9" s="281"/>
      <c r="H9" s="281"/>
      <c r="I9" s="281"/>
      <c r="J9" s="319"/>
      <c r="K9" s="281"/>
      <c r="L9" s="281"/>
      <c r="M9" s="281"/>
      <c r="N9" s="355"/>
    </row>
    <row r="10" spans="1:14" ht="17.25" thickTop="1" thickBot="1">
      <c r="B10" s="281"/>
      <c r="C10" s="480">
        <v>2</v>
      </c>
      <c r="D10" s="481">
        <v>8</v>
      </c>
      <c r="E10" s="482">
        <f>C10*3.14*D10^2/400</f>
        <v>1.0048000000000001</v>
      </c>
      <c r="F10" s="185" t="s">
        <v>289</v>
      </c>
      <c r="G10" s="281"/>
      <c r="H10" s="281"/>
      <c r="I10" s="282" t="s">
        <v>313</v>
      </c>
      <c r="J10" s="356">
        <f>C53/E53</f>
        <v>0.85457699119826658</v>
      </c>
      <c r="K10" s="366" t="s">
        <v>314</v>
      </c>
      <c r="L10" s="367" t="str">
        <f>G53</f>
        <v>Ok</v>
      </c>
      <c r="M10" s="281"/>
      <c r="N10" s="355"/>
    </row>
    <row r="11" spans="1:14" ht="17.25" thickTop="1" thickBot="1">
      <c r="B11" s="281"/>
      <c r="C11" s="480">
        <v>2</v>
      </c>
      <c r="D11" s="481">
        <v>14</v>
      </c>
      <c r="E11" s="482">
        <f>C11*3.14*D11^2/400</f>
        <v>3.0772000000000004</v>
      </c>
      <c r="F11" s="185" t="s">
        <v>289</v>
      </c>
      <c r="G11" s="281"/>
      <c r="H11" s="281"/>
      <c r="I11" s="281"/>
      <c r="J11" s="281"/>
      <c r="K11" s="281"/>
      <c r="L11" s="281"/>
      <c r="M11" s="281"/>
      <c r="N11" s="355"/>
    </row>
    <row r="12" spans="1:14" ht="17.25" thickTop="1" thickBot="1">
      <c r="B12" s="281"/>
      <c r="C12" s="480">
        <v>0</v>
      </c>
      <c r="D12" s="481">
        <v>0</v>
      </c>
      <c r="E12" s="482">
        <f>C12*3.14*D12^2/400</f>
        <v>0</v>
      </c>
      <c r="F12" s="185" t="s">
        <v>289</v>
      </c>
      <c r="G12" s="185" t="s">
        <v>336</v>
      </c>
      <c r="H12" s="185"/>
      <c r="I12" s="185"/>
      <c r="J12" s="185"/>
      <c r="K12" s="185"/>
      <c r="L12" s="185"/>
      <c r="M12" s="281"/>
      <c r="N12" s="355"/>
    </row>
    <row r="13" spans="1:14" ht="17.25" thickTop="1" thickBot="1">
      <c r="B13" s="185"/>
      <c r="C13" s="480">
        <v>0</v>
      </c>
      <c r="D13" s="481">
        <v>0</v>
      </c>
      <c r="E13" s="482">
        <f>C13*3.14*D13^2/400</f>
        <v>0</v>
      </c>
      <c r="F13" s="185" t="s">
        <v>289</v>
      </c>
      <c r="G13" s="185"/>
      <c r="H13" s="185"/>
      <c r="I13" s="185"/>
      <c r="J13" s="185"/>
      <c r="K13" s="185"/>
      <c r="L13" s="185"/>
      <c r="M13" s="281"/>
      <c r="N13" s="355"/>
    </row>
    <row r="14" spans="1:14" ht="17.25" thickTop="1" thickBot="1">
      <c r="A14" s="185"/>
      <c r="B14" s="185"/>
      <c r="C14" s="372"/>
      <c r="D14" s="373" t="s">
        <v>291</v>
      </c>
      <c r="E14" s="483">
        <f>SUM(E10:E13)</f>
        <v>4.0820000000000007</v>
      </c>
      <c r="F14" s="185" t="s">
        <v>289</v>
      </c>
      <c r="I14" s="185"/>
      <c r="J14" s="185"/>
      <c r="K14" s="185"/>
      <c r="L14" s="185"/>
      <c r="M14" s="281"/>
      <c r="N14" s="355"/>
    </row>
    <row r="15" spans="1:14" ht="16.5" thickTop="1">
      <c r="A15" s="360"/>
      <c r="B15" s="344"/>
      <c r="C15" s="344"/>
      <c r="D15" s="344"/>
      <c r="E15" s="344"/>
      <c r="F15" s="344"/>
      <c r="G15" s="344"/>
      <c r="H15" s="344"/>
      <c r="I15" s="361"/>
      <c r="J15" s="5"/>
      <c r="L15" s="5"/>
      <c r="M15" s="5"/>
      <c r="N15" s="5"/>
    </row>
    <row r="16" spans="1:14" ht="15.75">
      <c r="A16" s="310"/>
      <c r="B16" s="368" t="s">
        <v>292</v>
      </c>
      <c r="C16" s="185"/>
      <c r="D16" s="185"/>
      <c r="E16" s="185"/>
      <c r="F16" s="185"/>
      <c r="G16" s="185"/>
      <c r="H16" s="185"/>
      <c r="I16" s="173"/>
      <c r="J16" s="5"/>
      <c r="K16" s="5"/>
      <c r="L16" s="5"/>
      <c r="M16" s="5"/>
      <c r="N16" s="5"/>
    </row>
    <row r="17" spans="1:15" ht="15.75">
      <c r="A17" s="310"/>
      <c r="B17" s="185"/>
      <c r="C17" s="185"/>
      <c r="D17" s="185"/>
      <c r="E17" s="185"/>
      <c r="F17" s="185"/>
      <c r="G17" s="185"/>
      <c r="H17" s="185"/>
      <c r="I17" s="173"/>
      <c r="J17" s="5"/>
      <c r="K17" s="5"/>
      <c r="L17" s="5"/>
      <c r="M17" s="5"/>
      <c r="N17" s="5"/>
    </row>
    <row r="18" spans="1:15" ht="15.75">
      <c r="A18" s="310"/>
      <c r="B18" s="185"/>
      <c r="C18" s="327" t="s">
        <v>315</v>
      </c>
      <c r="D18" s="185"/>
      <c r="E18" s="327" t="str">
        <f>IF(H3=1,F5,F6)</f>
        <v>DOBULE JOIST</v>
      </c>
      <c r="F18" s="284"/>
      <c r="H18" s="172" t="str">
        <f>CONCATENATE(" J ",F3, " STORY ",F4)</f>
        <v xml:space="preserve"> J 9 STORY 1</v>
      </c>
      <c r="I18" s="173"/>
      <c r="J18" s="5"/>
      <c r="L18" s="5"/>
      <c r="M18" s="5"/>
      <c r="N18" s="5"/>
    </row>
    <row r="19" spans="1:15" ht="15.75">
      <c r="A19" s="310"/>
      <c r="B19" s="185"/>
      <c r="C19" s="185"/>
      <c r="D19" s="185"/>
      <c r="E19" s="185"/>
      <c r="F19" s="185"/>
      <c r="G19" s="185"/>
      <c r="H19" s="185"/>
      <c r="I19" s="173"/>
      <c r="J19" s="5"/>
      <c r="K19" s="5"/>
      <c r="L19" s="5"/>
      <c r="M19" s="5"/>
    </row>
    <row r="20" spans="1:15" ht="15.75">
      <c r="A20" s="310" t="s">
        <v>293</v>
      </c>
      <c r="B20" s="185"/>
      <c r="C20" s="60"/>
      <c r="D20" s="60"/>
      <c r="E20" s="60"/>
      <c r="F20" s="60"/>
      <c r="G20" s="185"/>
      <c r="H20" s="185"/>
      <c r="I20" s="312"/>
      <c r="J20" s="5"/>
      <c r="K20" s="5"/>
      <c r="L20" s="5"/>
      <c r="M20" s="378"/>
      <c r="N20" s="378"/>
      <c r="O20" s="379"/>
    </row>
    <row r="21" spans="1:15" ht="18">
      <c r="A21" s="345" t="s">
        <v>211</v>
      </c>
      <c r="B21" s="162">
        <f>C6</f>
        <v>210</v>
      </c>
      <c r="C21" s="5"/>
      <c r="D21" s="5"/>
      <c r="E21" s="379"/>
      <c r="F21" s="5"/>
      <c r="G21" s="5"/>
      <c r="H21" s="185"/>
      <c r="I21" s="312"/>
      <c r="J21" s="185"/>
      <c r="K21" s="185"/>
      <c r="L21" s="185"/>
      <c r="N21" s="380"/>
      <c r="O21" s="380"/>
    </row>
    <row r="22" spans="1:15" ht="15.75">
      <c r="A22" s="345" t="s">
        <v>277</v>
      </c>
      <c r="B22" s="162">
        <f>C7</f>
        <v>3000</v>
      </c>
      <c r="C22" s="60"/>
      <c r="D22" s="5"/>
      <c r="E22" s="5"/>
      <c r="F22" s="5"/>
      <c r="G22" s="5"/>
      <c r="H22" s="185"/>
      <c r="I22" s="312"/>
      <c r="J22" s="185"/>
      <c r="K22" s="185"/>
      <c r="L22" s="5"/>
      <c r="M22" s="5"/>
      <c r="N22" s="185"/>
      <c r="O22" s="185"/>
    </row>
    <row r="23" spans="1:15" ht="15.75">
      <c r="A23" s="246"/>
      <c r="B23" s="5"/>
      <c r="C23" s="60"/>
      <c r="D23" s="5"/>
      <c r="E23" s="5"/>
      <c r="F23" s="5"/>
      <c r="G23" s="5"/>
      <c r="H23" s="185"/>
      <c r="I23" s="312"/>
      <c r="J23" s="185"/>
      <c r="K23" s="185"/>
      <c r="L23" s="5"/>
      <c r="M23" s="5"/>
      <c r="N23" s="185"/>
    </row>
    <row r="24" spans="1:15" ht="15.75">
      <c r="A24" s="310" t="s">
        <v>294</v>
      </c>
      <c r="B24" s="185"/>
      <c r="C24" s="185"/>
      <c r="D24" s="60"/>
      <c r="E24" s="60"/>
      <c r="F24" s="60"/>
      <c r="G24" s="60"/>
      <c r="H24" s="185"/>
      <c r="I24" s="312"/>
      <c r="J24" s="185"/>
      <c r="K24" s="185"/>
      <c r="L24" s="5"/>
      <c r="M24" s="5"/>
      <c r="N24" s="185"/>
    </row>
    <row r="25" spans="1:15" ht="15.75">
      <c r="A25" s="345" t="s">
        <v>114</v>
      </c>
      <c r="B25" s="321">
        <f>C3</f>
        <v>7.44</v>
      </c>
      <c r="C25" s="185" t="s">
        <v>273</v>
      </c>
      <c r="D25" s="172" t="s">
        <v>275</v>
      </c>
      <c r="E25" s="162">
        <f>IF(H3=1,C4,C4/2)</f>
        <v>400</v>
      </c>
      <c r="F25" s="185" t="s">
        <v>276</v>
      </c>
      <c r="G25" s="60"/>
      <c r="H25" s="185"/>
      <c r="I25" s="312"/>
      <c r="J25" s="185"/>
      <c r="K25" s="185"/>
      <c r="L25" s="185"/>
      <c r="M25" s="185"/>
      <c r="N25" s="185"/>
    </row>
    <row r="26" spans="1:15" ht="15.75">
      <c r="A26" s="450"/>
      <c r="B26" s="355"/>
      <c r="C26" s="355"/>
      <c r="D26" s="172" t="s">
        <v>280</v>
      </c>
      <c r="E26" s="162">
        <f>IF(H3=1,C5,C5/2)</f>
        <v>100</v>
      </c>
      <c r="F26" s="185" t="s">
        <v>276</v>
      </c>
      <c r="G26" s="185"/>
      <c r="H26" s="185"/>
      <c r="I26" s="312"/>
      <c r="J26" s="185"/>
      <c r="K26" s="185"/>
      <c r="L26" s="185"/>
      <c r="M26" s="185"/>
      <c r="N26" s="60"/>
    </row>
    <row r="27" spans="1:15" ht="15.75">
      <c r="A27" s="450" t="s">
        <v>323</v>
      </c>
      <c r="B27" s="132"/>
      <c r="C27" s="355"/>
      <c r="D27" s="154">
        <f>(0.4+(C7/10/670))*(C3*100/20)</f>
        <v>31.536716417910455</v>
      </c>
      <c r="E27" s="185" t="s">
        <v>24</v>
      </c>
      <c r="F27" s="172" t="s">
        <v>274</v>
      </c>
      <c r="G27" s="162">
        <f>J3</f>
        <v>25</v>
      </c>
      <c r="H27" s="185" t="s">
        <v>24</v>
      </c>
      <c r="I27" s="312"/>
      <c r="J27" s="185"/>
      <c r="K27" s="185"/>
      <c r="L27" s="185"/>
      <c r="M27" s="185"/>
      <c r="N27" s="60"/>
    </row>
    <row r="28" spans="1:15" ht="15.75">
      <c r="A28" s="310"/>
      <c r="B28" s="185"/>
      <c r="C28" s="185"/>
      <c r="D28" s="185"/>
      <c r="E28" s="185"/>
      <c r="F28" s="172" t="s">
        <v>278</v>
      </c>
      <c r="G28" s="162">
        <f>J4</f>
        <v>5</v>
      </c>
      <c r="H28" s="185" t="s">
        <v>24</v>
      </c>
      <c r="I28" s="312"/>
      <c r="J28" s="185"/>
      <c r="K28" s="185"/>
      <c r="L28" s="185"/>
      <c r="M28" s="185"/>
      <c r="N28" s="60"/>
    </row>
    <row r="29" spans="1:15" ht="15.75">
      <c r="A29" s="345" t="s">
        <v>295</v>
      </c>
      <c r="B29" s="185"/>
      <c r="C29" s="185"/>
      <c r="D29" s="185"/>
      <c r="E29" s="185"/>
      <c r="F29" s="172" t="s">
        <v>287</v>
      </c>
      <c r="G29" s="162">
        <f>J6</f>
        <v>30</v>
      </c>
      <c r="H29" s="185" t="s">
        <v>24</v>
      </c>
      <c r="I29" s="312"/>
      <c r="J29" s="185"/>
      <c r="K29" s="185"/>
      <c r="L29" s="185"/>
      <c r="M29" s="185"/>
      <c r="N29" s="60"/>
    </row>
    <row r="30" spans="1:15" ht="15.75">
      <c r="A30" s="310"/>
      <c r="B30" s="185"/>
      <c r="C30" s="185"/>
      <c r="D30" s="185"/>
      <c r="E30" s="185"/>
      <c r="F30" s="185"/>
      <c r="G30" s="185"/>
      <c r="H30" s="185"/>
      <c r="I30" s="312"/>
      <c r="J30" s="185"/>
      <c r="K30" s="185"/>
      <c r="L30" s="185"/>
      <c r="M30" s="185"/>
      <c r="N30" s="60"/>
    </row>
    <row r="31" spans="1:15" ht="15.75">
      <c r="A31" s="345" t="s">
        <v>290</v>
      </c>
      <c r="B31" s="354">
        <f>J7</f>
        <v>33.322007722007719</v>
      </c>
      <c r="C31" s="185" t="s">
        <v>296</v>
      </c>
      <c r="D31" s="162" t="s">
        <v>297</v>
      </c>
      <c r="E31" s="162">
        <f>G29</f>
        <v>30</v>
      </c>
      <c r="F31" s="185" t="s">
        <v>24</v>
      </c>
      <c r="G31" s="185"/>
      <c r="H31" s="185"/>
      <c r="I31" s="312"/>
      <c r="J31" s="185"/>
      <c r="K31" s="185"/>
      <c r="L31" s="185"/>
      <c r="M31" s="185"/>
      <c r="N31" s="60"/>
    </row>
    <row r="32" spans="1:15" ht="15.75">
      <c r="A32" s="345" t="s">
        <v>169</v>
      </c>
      <c r="B32" s="354">
        <f>E31-J5</f>
        <v>27.5</v>
      </c>
      <c r="C32" s="185"/>
      <c r="D32" s="185"/>
      <c r="E32" s="185"/>
      <c r="F32" s="185"/>
      <c r="G32" s="185"/>
      <c r="H32" s="185"/>
      <c r="I32" s="312"/>
      <c r="J32" s="185"/>
      <c r="K32" s="185"/>
      <c r="L32" s="185"/>
      <c r="M32" s="185"/>
      <c r="N32" s="60"/>
    </row>
    <row r="33" spans="1:14" ht="15.75">
      <c r="A33" s="310"/>
      <c r="B33" s="185" t="s">
        <v>298</v>
      </c>
      <c r="C33" s="185"/>
      <c r="D33" s="185"/>
      <c r="E33" s="185"/>
      <c r="F33" s="185"/>
      <c r="G33" s="185"/>
      <c r="H33" s="185"/>
      <c r="I33" s="312"/>
      <c r="J33" s="185"/>
      <c r="K33" s="185"/>
      <c r="L33" s="185"/>
      <c r="M33" s="185"/>
    </row>
    <row r="34" spans="1:14" ht="15.75">
      <c r="A34" s="310"/>
      <c r="B34" s="172" t="s">
        <v>299</v>
      </c>
      <c r="C34" s="162">
        <f>1.4*E25+1.7*E26</f>
        <v>730</v>
      </c>
      <c r="D34" s="185" t="s">
        <v>276</v>
      </c>
      <c r="E34" s="185"/>
      <c r="F34" s="185"/>
      <c r="G34" s="185"/>
      <c r="H34" s="185"/>
      <c r="I34" s="312"/>
      <c r="J34" s="185"/>
      <c r="K34" s="185"/>
      <c r="L34" s="185"/>
      <c r="M34" s="185"/>
      <c r="N34" s="60"/>
    </row>
    <row r="35" spans="1:14" ht="15.75">
      <c r="A35" s="310"/>
      <c r="B35" s="185" t="s">
        <v>300</v>
      </c>
      <c r="C35" s="185"/>
      <c r="D35" s="185"/>
      <c r="E35" s="185"/>
      <c r="F35" s="185"/>
      <c r="G35" s="185"/>
      <c r="H35" s="185"/>
      <c r="I35" s="312"/>
      <c r="J35" s="185"/>
      <c r="K35" s="185"/>
      <c r="L35" s="185"/>
      <c r="M35" s="185"/>
      <c r="N35" s="60"/>
    </row>
    <row r="36" spans="1:14" ht="15.75">
      <c r="A36" s="310"/>
      <c r="B36" s="172" t="s">
        <v>301</v>
      </c>
      <c r="C36" s="162">
        <f>M4*C34</f>
        <v>365</v>
      </c>
      <c r="D36" s="185" t="s">
        <v>302</v>
      </c>
      <c r="E36" s="185"/>
      <c r="F36" s="185"/>
      <c r="G36" s="185"/>
      <c r="H36" s="185"/>
      <c r="I36" s="312"/>
      <c r="J36" s="185"/>
      <c r="K36" s="185"/>
      <c r="L36" s="185"/>
      <c r="M36" s="185"/>
      <c r="N36" s="60"/>
    </row>
    <row r="37" spans="1:14" ht="15.75">
      <c r="A37" s="310"/>
      <c r="B37" s="185" t="s">
        <v>303</v>
      </c>
      <c r="C37" s="185"/>
      <c r="D37" s="185"/>
      <c r="E37" s="185"/>
      <c r="F37" s="185"/>
      <c r="G37" s="185"/>
      <c r="H37" s="185"/>
      <c r="I37" s="312"/>
      <c r="J37" s="185"/>
      <c r="K37" s="185"/>
      <c r="L37" s="185"/>
      <c r="M37" s="185"/>
      <c r="N37" s="60"/>
    </row>
    <row r="38" spans="1:14" ht="15.75">
      <c r="A38" s="310"/>
      <c r="B38" s="172" t="s">
        <v>304</v>
      </c>
      <c r="C38" s="321">
        <f>C36*C3^2/8/1000</f>
        <v>2.5255080000000003</v>
      </c>
      <c r="D38" s="185" t="s">
        <v>35</v>
      </c>
      <c r="E38" s="185"/>
      <c r="F38" s="185"/>
      <c r="G38" s="185"/>
      <c r="H38" s="185"/>
      <c r="I38" s="312"/>
      <c r="J38" s="185"/>
      <c r="K38" s="185"/>
      <c r="L38" s="185"/>
      <c r="M38" s="185"/>
      <c r="N38" s="60"/>
    </row>
    <row r="39" spans="1:14" ht="15.75">
      <c r="A39" s="310"/>
      <c r="B39" s="185"/>
      <c r="C39" s="185"/>
      <c r="D39" s="185"/>
      <c r="E39" s="185"/>
      <c r="F39" s="185"/>
      <c r="G39" s="185"/>
      <c r="H39" s="185"/>
      <c r="I39" s="312"/>
      <c r="J39" s="185"/>
      <c r="K39" s="185"/>
      <c r="L39" s="185"/>
      <c r="M39" s="185"/>
      <c r="N39" s="60"/>
    </row>
    <row r="40" spans="1:14" ht="15.75">
      <c r="A40" s="310"/>
      <c r="B40" s="185" t="s">
        <v>316</v>
      </c>
      <c r="C40" s="107" t="str">
        <f>IF(C10&lt;&gt;0,CONCATENATE(C10,D9,D10),"")</f>
        <v>2F8</v>
      </c>
      <c r="D40" s="107" t="str">
        <f>IF(C11&lt;&gt;0,CONCATENATE(C11,D9,D11),"")</f>
        <v>2F14</v>
      </c>
      <c r="E40" s="107" t="str">
        <f>IF(C12&lt;&gt;0,CONCATENATE(C12,D9,D12),"")</f>
        <v/>
      </c>
      <c r="F40" s="107" t="str">
        <f>IF(C13&lt;&gt;0,CONCATENATE(C13,D9,D13),"")</f>
        <v/>
      </c>
      <c r="G40" s="5"/>
      <c r="H40" s="185"/>
      <c r="I40" s="312"/>
      <c r="J40" s="185"/>
      <c r="K40" s="185"/>
      <c r="L40" s="185"/>
      <c r="M40" s="185"/>
      <c r="N40" s="60"/>
    </row>
    <row r="41" spans="1:14" ht="15.75">
      <c r="A41" s="310"/>
      <c r="B41" s="185"/>
      <c r="C41" s="185"/>
      <c r="D41" s="185"/>
      <c r="E41" s="185"/>
      <c r="F41" s="185"/>
      <c r="G41" s="185"/>
      <c r="H41" s="185"/>
      <c r="I41" s="312"/>
      <c r="J41" s="185"/>
      <c r="K41" s="185"/>
      <c r="L41" s="185"/>
      <c r="M41" s="185"/>
      <c r="N41" s="60"/>
    </row>
    <row r="42" spans="1:14" ht="15.75">
      <c r="A42" s="310"/>
      <c r="B42" s="185" t="s">
        <v>291</v>
      </c>
      <c r="C42" s="321">
        <f>E14</f>
        <v>4.0820000000000007</v>
      </c>
      <c r="D42" s="185" t="s">
        <v>289</v>
      </c>
      <c r="E42" s="185"/>
      <c r="F42" s="185"/>
      <c r="G42" s="185"/>
      <c r="H42" s="185"/>
      <c r="I42" s="312"/>
      <c r="J42" s="185"/>
      <c r="K42" s="185"/>
      <c r="L42" s="185"/>
      <c r="M42" s="185"/>
      <c r="N42" s="60"/>
    </row>
    <row r="43" spans="1:14" ht="15.75">
      <c r="A43" s="310"/>
      <c r="B43" s="185"/>
      <c r="C43" s="185"/>
      <c r="D43" s="185"/>
      <c r="E43" s="185"/>
      <c r="F43" s="185"/>
      <c r="G43" s="185"/>
      <c r="H43" s="185"/>
      <c r="I43" s="312"/>
      <c r="J43" s="185"/>
      <c r="K43" s="185"/>
      <c r="L43" s="185"/>
      <c r="M43" s="185"/>
      <c r="N43" s="60"/>
    </row>
    <row r="44" spans="1:14" ht="15.75">
      <c r="A44" s="310"/>
      <c r="B44" s="185" t="s">
        <v>305</v>
      </c>
      <c r="C44" s="185"/>
      <c r="D44" s="185"/>
      <c r="E44" s="185"/>
      <c r="F44" s="185"/>
      <c r="G44" s="185"/>
      <c r="H44" s="185"/>
      <c r="I44" s="312"/>
      <c r="J44" s="185"/>
      <c r="K44" s="185"/>
      <c r="L44" s="185"/>
      <c r="M44" s="185"/>
      <c r="N44" s="60"/>
    </row>
    <row r="45" spans="1:14" ht="15.75">
      <c r="A45" s="310"/>
      <c r="B45" s="172" t="s">
        <v>217</v>
      </c>
      <c r="C45" s="321">
        <f>E14*C7/(0.85*C6*M6)</f>
        <v>1.3721008403361346</v>
      </c>
      <c r="D45" s="185"/>
      <c r="E45" s="185"/>
      <c r="F45" s="185"/>
      <c r="G45" s="185"/>
      <c r="H45" s="185"/>
      <c r="I45" s="312"/>
      <c r="J45" s="185"/>
      <c r="K45" s="185"/>
      <c r="L45" s="185"/>
      <c r="M45" s="185"/>
      <c r="N45" s="60"/>
    </row>
    <row r="46" spans="1:14" ht="15.75">
      <c r="A46" s="310"/>
      <c r="B46" s="185" t="s">
        <v>306</v>
      </c>
      <c r="C46" s="185"/>
      <c r="D46" s="185"/>
      <c r="E46" s="185"/>
      <c r="F46" s="185"/>
      <c r="G46" s="185"/>
      <c r="H46" s="185"/>
      <c r="I46" s="312"/>
      <c r="J46" s="185"/>
      <c r="K46" s="185"/>
      <c r="L46" s="185"/>
      <c r="M46" s="185"/>
      <c r="N46" s="60"/>
    </row>
    <row r="47" spans="1:14" ht="15.75">
      <c r="A47" s="310"/>
      <c r="B47" s="362">
        <f>C45</f>
        <v>1.3721008403361346</v>
      </c>
      <c r="C47" s="227" t="s">
        <v>307</v>
      </c>
      <c r="D47" s="180">
        <f>J4</f>
        <v>5</v>
      </c>
      <c r="E47" s="185" t="s">
        <v>24</v>
      </c>
      <c r="F47" s="316" t="str">
        <f>IF(B47&lt;D47,"Ok","not Good")</f>
        <v>Ok</v>
      </c>
      <c r="G47" s="185"/>
      <c r="H47" s="185"/>
      <c r="I47" s="312"/>
      <c r="J47" s="185"/>
      <c r="K47" s="185"/>
      <c r="L47" s="185"/>
      <c r="M47" s="185"/>
      <c r="N47" s="60"/>
    </row>
    <row r="48" spans="1:14" ht="15.75">
      <c r="A48" s="310"/>
      <c r="B48" s="185"/>
      <c r="C48" s="185"/>
      <c r="D48" s="185"/>
      <c r="E48" s="185"/>
      <c r="F48" s="185"/>
      <c r="G48" s="185"/>
      <c r="H48" s="185"/>
      <c r="I48" s="312"/>
      <c r="J48" s="185"/>
      <c r="K48" s="185"/>
      <c r="L48" s="185"/>
      <c r="M48" s="185"/>
      <c r="N48" s="60"/>
    </row>
    <row r="49" spans="1:14" ht="15.75">
      <c r="A49" s="310"/>
      <c r="B49" s="185" t="s">
        <v>308</v>
      </c>
      <c r="C49" s="185"/>
      <c r="D49" s="185"/>
      <c r="E49" s="185"/>
      <c r="F49" s="185"/>
      <c r="G49" s="185"/>
      <c r="H49" s="185"/>
      <c r="I49" s="312"/>
      <c r="J49" s="185"/>
      <c r="K49" s="185"/>
      <c r="L49" s="185"/>
      <c r="M49" s="185"/>
      <c r="N49" s="60"/>
    </row>
    <row r="50" spans="1:14" ht="15.75">
      <c r="A50" s="310"/>
      <c r="B50" s="172" t="s">
        <v>309</v>
      </c>
      <c r="C50" s="321">
        <f>E14*C7*(J8-C45/2)*0.00001</f>
        <v>3.2836362655462192</v>
      </c>
      <c r="D50" s="185" t="s">
        <v>35</v>
      </c>
      <c r="E50" s="185"/>
      <c r="F50" s="185"/>
      <c r="G50" s="185"/>
      <c r="H50" s="185"/>
      <c r="I50" s="312"/>
      <c r="J50" s="185"/>
      <c r="K50" s="185"/>
      <c r="L50" s="185"/>
      <c r="M50" s="185"/>
      <c r="N50" s="60"/>
    </row>
    <row r="51" spans="1:14" ht="15.75">
      <c r="A51" s="345"/>
      <c r="B51" s="172" t="s">
        <v>310</v>
      </c>
      <c r="C51" s="321">
        <f>0.9*C50</f>
        <v>2.9552726389915973</v>
      </c>
      <c r="D51" s="185" t="s">
        <v>35</v>
      </c>
      <c r="E51" s="185"/>
      <c r="F51" s="185"/>
      <c r="G51" s="185"/>
      <c r="H51" s="185"/>
      <c r="I51" s="312"/>
      <c r="J51" s="185"/>
      <c r="K51" s="185"/>
      <c r="L51" s="185"/>
      <c r="M51" s="185"/>
      <c r="N51" s="60"/>
    </row>
    <row r="52" spans="1:14" ht="15.75">
      <c r="A52" s="310"/>
      <c r="B52" s="185"/>
      <c r="C52" s="172" t="s">
        <v>311</v>
      </c>
      <c r="D52" s="180" t="s">
        <v>312</v>
      </c>
      <c r="E52" s="185"/>
      <c r="F52" s="185"/>
      <c r="G52" s="185"/>
      <c r="H52" s="5"/>
      <c r="I52" s="312"/>
      <c r="J52" s="5"/>
      <c r="K52" s="5"/>
      <c r="L52" s="185"/>
      <c r="M52" s="185"/>
      <c r="N52" s="60"/>
    </row>
    <row r="53" spans="1:14" ht="15.75">
      <c r="A53" s="310"/>
      <c r="B53" s="185"/>
      <c r="C53" s="362">
        <f>C38</f>
        <v>2.5255080000000003</v>
      </c>
      <c r="D53" s="227" t="s">
        <v>307</v>
      </c>
      <c r="E53" s="363">
        <f>C51</f>
        <v>2.9552726389915973</v>
      </c>
      <c r="F53" s="185" t="s">
        <v>35</v>
      </c>
      <c r="G53" s="316" t="str">
        <f>IF(C53&lt;E53,"Ok","NG")</f>
        <v>Ok</v>
      </c>
      <c r="H53" s="5"/>
      <c r="I53" s="312"/>
      <c r="J53" s="5"/>
      <c r="K53" s="5"/>
      <c r="L53" s="185"/>
      <c r="M53" s="185"/>
      <c r="N53" s="60"/>
    </row>
    <row r="54" spans="1:14" ht="15.75">
      <c r="A54" s="310"/>
      <c r="B54" s="23"/>
      <c r="C54" s="23"/>
      <c r="D54" s="23"/>
      <c r="E54" s="23"/>
      <c r="F54" s="23"/>
      <c r="G54" s="23"/>
      <c r="H54" s="185"/>
      <c r="I54" s="312"/>
      <c r="J54" s="185"/>
      <c r="K54" s="185"/>
      <c r="L54" s="185"/>
      <c r="M54" s="185"/>
      <c r="N54" s="60"/>
    </row>
    <row r="55" spans="1:14" ht="15.75">
      <c r="A55" s="310"/>
      <c r="B55" s="23"/>
      <c r="C55" s="129" t="str">
        <f>IF(G53="Ok","USE","")</f>
        <v>USE</v>
      </c>
      <c r="D55" s="104" t="str">
        <f>IF(G53="Ok",CONCATENATE(C40,"+",D40,"+",E40,"",F40),"")</f>
        <v>2F8+2F14+</v>
      </c>
      <c r="E55" s="270"/>
      <c r="F55" s="270"/>
      <c r="G55" s="23"/>
      <c r="H55" s="185"/>
      <c r="I55" s="312"/>
      <c r="J55" s="185"/>
      <c r="K55" s="185"/>
      <c r="L55" s="185"/>
      <c r="M55" s="185"/>
      <c r="N55" s="60"/>
    </row>
    <row r="56" spans="1:14" ht="15.75">
      <c r="A56" s="310"/>
      <c r="B56" s="23"/>
      <c r="C56" s="109" t="str">
        <f>IF(G53="Ok","with Rib height=","")</f>
        <v>with Rib height=</v>
      </c>
      <c r="D56" s="270"/>
      <c r="E56" s="107">
        <f>IF(G53="Ok",J3,"")</f>
        <v>25</v>
      </c>
      <c r="F56" s="109" t="str">
        <f>IF(G53="Ok","cm","")</f>
        <v>cm</v>
      </c>
      <c r="G56" s="23"/>
      <c r="H56" s="185"/>
      <c r="I56" s="312"/>
      <c r="J56" s="185"/>
      <c r="K56" s="185"/>
      <c r="L56" s="185"/>
      <c r="M56" s="185"/>
      <c r="N56" s="60"/>
    </row>
    <row r="57" spans="1:14" ht="16.5" thickBot="1">
      <c r="A57" s="364"/>
      <c r="B57" s="289"/>
      <c r="C57" s="374"/>
      <c r="D57" s="374"/>
      <c r="E57" s="374"/>
      <c r="F57" s="375"/>
      <c r="G57" s="374"/>
      <c r="H57" s="374"/>
      <c r="I57" s="365"/>
      <c r="J57" s="185"/>
      <c r="K57" s="185"/>
      <c r="L57" s="185"/>
      <c r="M57" s="185"/>
      <c r="N57" s="60"/>
    </row>
    <row r="58" spans="1:14" ht="16.5" thickTop="1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60"/>
    </row>
    <row r="59" spans="1:14" ht="15.7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60"/>
    </row>
    <row r="60" spans="1:14" ht="15.7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60"/>
    </row>
    <row r="61" spans="1:14" ht="15.7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60"/>
    </row>
  </sheetData>
  <phoneticPr fontId="8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2IPE COLUMN(BENDEING)</vt:lpstr>
      <vt:lpstr>2IPE COLUMN</vt:lpstr>
      <vt:lpstr> BRACE</vt:lpstr>
      <vt:lpstr>BEAM CIPE</vt:lpstr>
      <vt:lpstr>BEAM IPE</vt:lpstr>
      <vt:lpstr>BASE PLATE</vt:lpstr>
      <vt:lpstr>BOLT DESIGN</vt:lpstr>
      <vt:lpstr>LD BOLT</vt:lpstr>
      <vt:lpstr>JOIST</vt:lpstr>
      <vt:lpstr>EARTHQUQKE</vt:lpstr>
      <vt:lpstr>Corner BP</vt:lpstr>
      <vt:lpstr>' BRACE'!Print_Area</vt:lpstr>
      <vt:lpstr>'2IPE COLUMN'!Print_Area</vt:lpstr>
      <vt:lpstr>'2IPE COLUMN(BENDEING)'!Print_Area</vt:lpstr>
      <vt:lpstr>'BASE PLATE'!Print_Area</vt:lpstr>
      <vt:lpstr>'BEAM CIPE'!Print_Area</vt:lpstr>
      <vt:lpstr>'BEAM IPE'!Print_Area</vt:lpstr>
      <vt:lpstr>'BOLT DESIGN'!Print_Area</vt:lpstr>
      <vt:lpstr>'Corner BP'!Print_Area</vt:lpstr>
      <vt:lpstr>EARTHQUQKE!Print_Area</vt:lpstr>
      <vt:lpstr>JOIST!Print_Area</vt:lpstr>
      <vt:lpstr>'LD BOLT'!Print_Area</vt:lpstr>
    </vt:vector>
  </TitlesOfParts>
  <Company>aminzadeh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kavosh</cp:lastModifiedBy>
  <cp:lastPrinted>2010-02-10T07:44:01Z</cp:lastPrinted>
  <dcterms:created xsi:type="dcterms:W3CDTF">2005-05-27T07:36:53Z</dcterms:created>
  <dcterms:modified xsi:type="dcterms:W3CDTF">2010-02-10T07:44:46Z</dcterms:modified>
</cp:coreProperties>
</file>