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henrygreenfield_wustl_edu/Documents/Documents/"/>
    </mc:Choice>
  </mc:AlternateContent>
  <xr:revisionPtr revIDLastSave="24" documentId="8_{960C98BA-752C-4B3D-893A-0BDC2626AE65}" xr6:coauthVersionLast="47" xr6:coauthVersionMax="47" xr10:uidLastSave="{E33FB777-D8D9-4C66-A9DA-F14E57F94BA2}"/>
  <bookViews>
    <workbookView xWindow="-108" yWindow="-108" windowWidth="23256" windowHeight="12576" tabRatio="933" xr2:uid="{EFAD1444-6B1E-4759-ABEA-3209D4ABD3B9}"/>
  </bookViews>
  <sheets>
    <sheet name="Notes" sheetId="11" r:id="rId1"/>
    <sheet name="Stock Info" sheetId="1" r:id="rId2"/>
    <sheet name="Options Data" sheetId="5" r:id="rId3"/>
    <sheet name="CRR IV" sheetId="3" r:id="rId4"/>
    <sheet name="BS IV" sheetId="4" r:id="rId5"/>
    <sheet name="IV Compiled" sheetId="6" r:id="rId6"/>
    <sheet name="CRR Dividend Pricing" sheetId="7" r:id="rId7"/>
    <sheet name="Divided Prices Compiled" sheetId="8" r:id="rId8"/>
    <sheet name="Implied Tree" sheetId="9" r:id="rId9"/>
    <sheet name="Implied Tree Compiled" sheetId="10" r:id="rId10"/>
  </sheets>
  <definedNames>
    <definedName name="d_1">'BS IV'!$B$10</definedName>
    <definedName name="d_2">'BS IV'!$B$11</definedName>
    <definedName name="dt">'BS IV'!$B$2</definedName>
    <definedName name="K">'BS IV'!$B$4</definedName>
    <definedName name="rfr">'BS IV'!$B$5</definedName>
    <definedName name="S0">'BS IV'!$B$3</definedName>
    <definedName name="sigma">'BS IV'!$B$6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K55" i="6"/>
  <c r="J56" i="6"/>
  <c r="K56" i="6"/>
  <c r="K57" i="6"/>
  <c r="J59" i="6"/>
  <c r="J60" i="6"/>
  <c r="I56" i="6"/>
  <c r="I57" i="6"/>
  <c r="I58" i="6"/>
  <c r="I60" i="6"/>
  <c r="I55" i="6"/>
  <c r="D55" i="6"/>
  <c r="E55" i="6"/>
  <c r="D56" i="6"/>
  <c r="E56" i="6"/>
  <c r="D57" i="6"/>
  <c r="E57" i="6"/>
  <c r="D58" i="6"/>
  <c r="E58" i="6"/>
  <c r="D59" i="6"/>
  <c r="E59" i="6"/>
  <c r="D60" i="6"/>
  <c r="E60" i="6"/>
  <c r="C56" i="6"/>
  <c r="C57" i="6"/>
  <c r="C58" i="6"/>
  <c r="C59" i="6"/>
  <c r="C60" i="6"/>
  <c r="C55" i="6"/>
  <c r="B19" i="9"/>
  <c r="J45" i="6"/>
  <c r="K45" i="6"/>
  <c r="J46" i="6"/>
  <c r="K46" i="6"/>
  <c r="K47" i="6"/>
  <c r="J49" i="6"/>
  <c r="J50" i="6"/>
  <c r="I46" i="6"/>
  <c r="I47" i="6"/>
  <c r="I48" i="6"/>
  <c r="I50" i="6"/>
  <c r="D45" i="6"/>
  <c r="E45" i="6"/>
  <c r="D46" i="6"/>
  <c r="E46" i="6"/>
  <c r="D47" i="6"/>
  <c r="E47" i="6"/>
  <c r="D48" i="6"/>
  <c r="E48" i="6"/>
  <c r="D49" i="6"/>
  <c r="E49" i="6"/>
  <c r="D50" i="6"/>
  <c r="E50" i="6"/>
  <c r="C46" i="6"/>
  <c r="C47" i="6"/>
  <c r="C48" i="6"/>
  <c r="C49" i="6"/>
  <c r="C50" i="6"/>
  <c r="I45" i="6"/>
  <c r="C45" i="6"/>
  <c r="J35" i="6"/>
  <c r="K35" i="6"/>
  <c r="J36" i="6"/>
  <c r="K36" i="6"/>
  <c r="K37" i="6"/>
  <c r="J39" i="6"/>
  <c r="J40" i="6"/>
  <c r="I36" i="6"/>
  <c r="I37" i="6"/>
  <c r="I38" i="6"/>
  <c r="I40" i="6"/>
  <c r="I35" i="6"/>
  <c r="D38" i="6"/>
  <c r="E38" i="6"/>
  <c r="D39" i="6"/>
  <c r="E39" i="6"/>
  <c r="D40" i="6"/>
  <c r="E40" i="6"/>
  <c r="D37" i="6"/>
  <c r="E37" i="6"/>
  <c r="D36" i="6"/>
  <c r="E36" i="6"/>
  <c r="D35" i="6"/>
  <c r="E35" i="6"/>
  <c r="C36" i="6"/>
  <c r="C37" i="6"/>
  <c r="C38" i="6"/>
  <c r="C39" i="6"/>
  <c r="C40" i="6"/>
  <c r="C35" i="6"/>
  <c r="L21" i="10"/>
  <c r="L22" i="10"/>
  <c r="L23" i="10"/>
  <c r="L24" i="10"/>
  <c r="L20" i="10"/>
  <c r="I21" i="10"/>
  <c r="I22" i="10"/>
  <c r="I23" i="10"/>
  <c r="I24" i="10"/>
  <c r="I20" i="10"/>
  <c r="H21" i="10"/>
  <c r="H22" i="10"/>
  <c r="H23" i="10"/>
  <c r="H24" i="10"/>
  <c r="H20" i="10"/>
  <c r="L14" i="10"/>
  <c r="E13" i="10"/>
  <c r="E14" i="10"/>
  <c r="E15" i="10"/>
  <c r="E16" i="10"/>
  <c r="E12" i="10"/>
  <c r="E7" i="10"/>
  <c r="E6" i="10"/>
  <c r="E5" i="10"/>
  <c r="E4" i="10"/>
  <c r="E3" i="10"/>
  <c r="H28" i="9"/>
  <c r="I28" i="9"/>
  <c r="J28" i="9"/>
  <c r="K28" i="9"/>
  <c r="G28" i="9"/>
  <c r="L15" i="10"/>
  <c r="E10" i="9"/>
  <c r="E11" i="9"/>
  <c r="E12" i="9"/>
  <c r="E13" i="9"/>
  <c r="E9" i="9"/>
  <c r="B19" i="1"/>
  <c r="B2" i="9"/>
  <c r="A31" i="7"/>
  <c r="B31" i="7"/>
  <c r="C31" i="7"/>
  <c r="D31" i="7"/>
  <c r="E31" i="7"/>
  <c r="F31" i="7"/>
  <c r="G31" i="7"/>
  <c r="H31" i="7"/>
  <c r="I31" i="7"/>
  <c r="J31" i="7"/>
  <c r="K31" i="7"/>
  <c r="I17" i="8"/>
  <c r="I15" i="8"/>
  <c r="I14" i="8"/>
  <c r="I13" i="8"/>
  <c r="I6" i="8"/>
  <c r="I7" i="8"/>
  <c r="I8" i="8"/>
  <c r="I9" i="8"/>
  <c r="I5" i="8"/>
  <c r="E6" i="8"/>
  <c r="E7" i="8"/>
  <c r="E8" i="8"/>
  <c r="E9" i="8"/>
  <c r="E13" i="8"/>
  <c r="E14" i="8"/>
  <c r="E15" i="8"/>
  <c r="E17" i="8"/>
  <c r="E5" i="8"/>
  <c r="B1" i="7"/>
  <c r="B4" i="3"/>
  <c r="A35" i="7"/>
  <c r="A9" i="7"/>
  <c r="E1" i="7"/>
  <c r="X6" i="5"/>
  <c r="X7" i="5"/>
  <c r="X5" i="5"/>
  <c r="W10" i="5"/>
  <c r="W9" i="5"/>
  <c r="W6" i="5"/>
  <c r="W5" i="5"/>
  <c r="V10" i="5"/>
  <c r="V8" i="5"/>
  <c r="V7" i="5"/>
  <c r="V6" i="5"/>
  <c r="V5" i="5"/>
  <c r="O10" i="5"/>
  <c r="P10" i="5"/>
  <c r="Q6" i="5"/>
  <c r="Q7" i="5"/>
  <c r="Q8" i="5"/>
  <c r="Q9" i="5"/>
  <c r="Q10" i="5"/>
  <c r="Q5" i="5"/>
  <c r="P6" i="5"/>
  <c r="P7" i="5"/>
  <c r="P8" i="5"/>
  <c r="P9" i="5"/>
  <c r="P5" i="5"/>
  <c r="O6" i="5"/>
  <c r="O7" i="5"/>
  <c r="O8" i="5"/>
  <c r="O9" i="5"/>
  <c r="O5" i="5"/>
  <c r="Q4" i="5"/>
  <c r="P4" i="5"/>
  <c r="Q32" i="4"/>
  <c r="P32" i="4"/>
  <c r="K32" i="4"/>
  <c r="J32" i="4"/>
  <c r="I32" i="4"/>
  <c r="Q31" i="4"/>
  <c r="K31" i="4"/>
  <c r="J31" i="4"/>
  <c r="I31" i="4"/>
  <c r="P30" i="4"/>
  <c r="K30" i="4"/>
  <c r="J30" i="4"/>
  <c r="I30" i="4"/>
  <c r="R29" i="4"/>
  <c r="P29" i="4"/>
  <c r="K29" i="4"/>
  <c r="J29" i="4"/>
  <c r="I29" i="4"/>
  <c r="R28" i="4"/>
  <c r="Q28" i="4"/>
  <c r="P28" i="4"/>
  <c r="K28" i="4"/>
  <c r="J28" i="4"/>
  <c r="I28" i="4"/>
  <c r="R27" i="4"/>
  <c r="Q27" i="4"/>
  <c r="P27" i="4"/>
  <c r="K27" i="4"/>
  <c r="J27" i="4"/>
  <c r="I27" i="4"/>
  <c r="X27" i="3"/>
  <c r="X28" i="3"/>
  <c r="X26" i="3"/>
  <c r="W31" i="3"/>
  <c r="W30" i="3"/>
  <c r="W27" i="3"/>
  <c r="W26" i="3"/>
  <c r="V27" i="3"/>
  <c r="V28" i="3"/>
  <c r="V29" i="3"/>
  <c r="V30" i="3"/>
  <c r="V31" i="3"/>
  <c r="V26" i="3"/>
  <c r="Q27" i="3"/>
  <c r="Q28" i="3"/>
  <c r="Q29" i="3"/>
  <c r="Q30" i="3"/>
  <c r="Q31" i="3"/>
  <c r="Q26" i="3"/>
  <c r="P27" i="3"/>
  <c r="P28" i="3"/>
  <c r="P29" i="3"/>
  <c r="P30" i="3"/>
  <c r="P31" i="3"/>
  <c r="P26" i="3"/>
  <c r="O27" i="3"/>
  <c r="O28" i="3"/>
  <c r="O29" i="3"/>
  <c r="O30" i="3"/>
  <c r="O31" i="3"/>
  <c r="O26" i="3"/>
  <c r="B1" i="3"/>
  <c r="E1" i="3" s="1"/>
  <c r="E2" i="3" s="1"/>
  <c r="C35" i="3"/>
  <c r="C22" i="3"/>
  <c r="A10" i="3"/>
  <c r="B2" i="4"/>
  <c r="Q19" i="4"/>
  <c r="Q20" i="4"/>
  <c r="Q18" i="4"/>
  <c r="J19" i="4"/>
  <c r="J20" i="4"/>
  <c r="J21" i="4"/>
  <c r="J22" i="4"/>
  <c r="J23" i="4"/>
  <c r="J18" i="4"/>
  <c r="Q12" i="4"/>
  <c r="Q13" i="4"/>
  <c r="Q14" i="4"/>
  <c r="Q11" i="4"/>
  <c r="J12" i="4"/>
  <c r="J13" i="4"/>
  <c r="J14" i="4"/>
  <c r="J15" i="4"/>
  <c r="J16" i="4"/>
  <c r="J11" i="4"/>
  <c r="Q5" i="4"/>
  <c r="Q6" i="4"/>
  <c r="Q7" i="4"/>
  <c r="Q9" i="4"/>
  <c r="Q4" i="4"/>
  <c r="J5" i="4"/>
  <c r="J6" i="4"/>
  <c r="J7" i="4"/>
  <c r="J8" i="4"/>
  <c r="J9" i="4"/>
  <c r="J4" i="4"/>
  <c r="P19" i="4"/>
  <c r="P20" i="4"/>
  <c r="P18" i="4"/>
  <c r="I19" i="4"/>
  <c r="I20" i="4"/>
  <c r="I21" i="4"/>
  <c r="I22" i="4"/>
  <c r="I23" i="4"/>
  <c r="I18" i="4"/>
  <c r="P12" i="4"/>
  <c r="P13" i="4"/>
  <c r="P14" i="4"/>
  <c r="P11" i="4"/>
  <c r="I12" i="4"/>
  <c r="I13" i="4"/>
  <c r="I14" i="4"/>
  <c r="I15" i="4"/>
  <c r="I16" i="4"/>
  <c r="I11" i="4"/>
  <c r="P5" i="4"/>
  <c r="P6" i="4"/>
  <c r="P7" i="4"/>
  <c r="P9" i="4"/>
  <c r="P4" i="4"/>
  <c r="I5" i="4"/>
  <c r="I6" i="4"/>
  <c r="I7" i="4"/>
  <c r="I8" i="4"/>
  <c r="I9" i="4"/>
  <c r="I4" i="4"/>
  <c r="B3" i="4"/>
  <c r="B17" i="1"/>
  <c r="B18" i="1"/>
  <c r="B16" i="1"/>
  <c r="B5" i="1"/>
  <c r="L13" i="10" l="1"/>
  <c r="I27" i="9"/>
  <c r="H26" i="9" s="1"/>
  <c r="H27" i="9"/>
  <c r="L12" i="10"/>
  <c r="L16" i="10"/>
  <c r="G27" i="9"/>
  <c r="J27" i="9"/>
  <c r="E3" i="7"/>
  <c r="E4" i="7" s="1"/>
  <c r="A10" i="7" s="1"/>
  <c r="E2" i="7"/>
  <c r="E3" i="3"/>
  <c r="E4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B11" i="4"/>
  <c r="B10" i="4"/>
  <c r="B19" i="4" s="1"/>
  <c r="G26" i="9" l="1"/>
  <c r="G25" i="9" s="1"/>
  <c r="I26" i="9"/>
  <c r="H25" i="9" s="1"/>
  <c r="A11" i="7"/>
  <c r="A36" i="7"/>
  <c r="B10" i="7"/>
  <c r="B36" i="7" s="1"/>
  <c r="E5" i="7"/>
  <c r="E6" i="7" s="1"/>
  <c r="A46" i="3"/>
  <c r="A33" i="3"/>
  <c r="E5" i="3"/>
  <c r="E6" i="3" s="1"/>
  <c r="B11" i="3"/>
  <c r="D14" i="4"/>
  <c r="B17" i="4"/>
  <c r="D17" i="4"/>
  <c r="D16" i="4"/>
  <c r="D18" i="4"/>
  <c r="D19" i="4"/>
  <c r="D20" i="4"/>
  <c r="B14" i="4"/>
  <c r="B16" i="4"/>
  <c r="B18" i="4"/>
  <c r="B20" i="4"/>
  <c r="G24" i="9" l="1"/>
  <c r="A12" i="7"/>
  <c r="A37" i="7"/>
  <c r="C11" i="7"/>
  <c r="C37" i="7" s="1"/>
  <c r="B11" i="7"/>
  <c r="C12" i="3"/>
  <c r="B12" i="3"/>
  <c r="B13" i="3" s="1"/>
  <c r="B14" i="3" s="1"/>
  <c r="B15" i="3" s="1"/>
  <c r="B16" i="3" s="1"/>
  <c r="B17" i="3" s="1"/>
  <c r="B18" i="3" s="1"/>
  <c r="B19" i="3" s="1"/>
  <c r="B20" i="3" s="1"/>
  <c r="A13" i="7" l="1"/>
  <c r="A38" i="7"/>
  <c r="B12" i="7"/>
  <c r="B37" i="7"/>
  <c r="C12" i="7"/>
  <c r="D12" i="7"/>
  <c r="D38" i="7" s="1"/>
  <c r="B33" i="3"/>
  <c r="B46" i="3"/>
  <c r="C13" i="3"/>
  <c r="C14" i="3" s="1"/>
  <c r="C15" i="3" s="1"/>
  <c r="C16" i="3" s="1"/>
  <c r="C17" i="3" s="1"/>
  <c r="C18" i="3" s="1"/>
  <c r="C19" i="3" s="1"/>
  <c r="C20" i="3" s="1"/>
  <c r="D13" i="3"/>
  <c r="A14" i="7" l="1"/>
  <c r="A39" i="7"/>
  <c r="C13" i="7"/>
  <c r="C38" i="7"/>
  <c r="B13" i="7"/>
  <c r="B38" i="7"/>
  <c r="E13" i="7"/>
  <c r="E39" i="7" s="1"/>
  <c r="D13" i="7"/>
  <c r="A32" i="3"/>
  <c r="A45" i="3"/>
  <c r="C46" i="3"/>
  <c r="C33" i="3"/>
  <c r="D14" i="3"/>
  <c r="D15" i="3" s="1"/>
  <c r="D16" i="3" s="1"/>
  <c r="D17" i="3" s="1"/>
  <c r="D18" i="3" s="1"/>
  <c r="D19" i="3" s="1"/>
  <c r="D20" i="3" s="1"/>
  <c r="E14" i="3"/>
  <c r="A15" i="7" l="1"/>
  <c r="A40" i="7"/>
  <c r="D14" i="7"/>
  <c r="D39" i="7"/>
  <c r="B14" i="7"/>
  <c r="B39" i="7"/>
  <c r="C14" i="7"/>
  <c r="C39" i="7"/>
  <c r="F14" i="7"/>
  <c r="F40" i="7" s="1"/>
  <c r="E14" i="7"/>
  <c r="B45" i="3"/>
  <c r="A44" i="3" s="1"/>
  <c r="B32" i="3"/>
  <c r="A31" i="3" s="1"/>
  <c r="E15" i="3"/>
  <c r="E16" i="3" s="1"/>
  <c r="E17" i="3" s="1"/>
  <c r="E18" i="3" s="1"/>
  <c r="E19" i="3" s="1"/>
  <c r="E20" i="3" s="1"/>
  <c r="F15" i="3"/>
  <c r="D33" i="3"/>
  <c r="D46" i="3"/>
  <c r="B15" i="7" l="1"/>
  <c r="B40" i="7"/>
  <c r="A16" i="7"/>
  <c r="A41" i="7"/>
  <c r="E15" i="7"/>
  <c r="E40" i="7"/>
  <c r="C15" i="7"/>
  <c r="C40" i="7"/>
  <c r="D15" i="7"/>
  <c r="D40" i="7"/>
  <c r="F15" i="7"/>
  <c r="G15" i="7"/>
  <c r="G41" i="7" s="1"/>
  <c r="C45" i="3"/>
  <c r="C32" i="3"/>
  <c r="F16" i="3"/>
  <c r="F17" i="3" s="1"/>
  <c r="F18" i="3" s="1"/>
  <c r="F19" i="3" s="1"/>
  <c r="F20" i="3" s="1"/>
  <c r="G16" i="3"/>
  <c r="E33" i="3"/>
  <c r="E46" i="3"/>
  <c r="D45" i="3" s="1"/>
  <c r="B16" i="7" l="1"/>
  <c r="B41" i="7"/>
  <c r="C16" i="7"/>
  <c r="C41" i="7"/>
  <c r="F16" i="7"/>
  <c r="F41" i="7"/>
  <c r="D16" i="7"/>
  <c r="D41" i="7"/>
  <c r="E16" i="7"/>
  <c r="E41" i="7"/>
  <c r="A17" i="7"/>
  <c r="A42" i="7"/>
  <c r="G16" i="7"/>
  <c r="H16" i="7"/>
  <c r="H42" i="7" s="1"/>
  <c r="B44" i="3"/>
  <c r="C44" i="3"/>
  <c r="B31" i="3"/>
  <c r="D32" i="3"/>
  <c r="F46" i="3"/>
  <c r="E45" i="3" s="1"/>
  <c r="F33" i="3"/>
  <c r="G17" i="3"/>
  <c r="G18" i="3" s="1"/>
  <c r="G19" i="3" s="1"/>
  <c r="G20" i="3" s="1"/>
  <c r="H17" i="3"/>
  <c r="B17" i="7" l="1"/>
  <c r="B42" i="7"/>
  <c r="A18" i="7"/>
  <c r="A43" i="7"/>
  <c r="E17" i="7"/>
  <c r="E42" i="7"/>
  <c r="D17" i="7"/>
  <c r="D42" i="7"/>
  <c r="F17" i="7"/>
  <c r="F42" i="7"/>
  <c r="G17" i="7"/>
  <c r="G42" i="7"/>
  <c r="C17" i="7"/>
  <c r="C42" i="7"/>
  <c r="I17" i="7"/>
  <c r="I43" i="7" s="1"/>
  <c r="H17" i="7"/>
  <c r="A30" i="3"/>
  <c r="C31" i="3"/>
  <c r="B43" i="3"/>
  <c r="A43" i="3"/>
  <c r="D44" i="3"/>
  <c r="C43" i="3" s="1"/>
  <c r="E32" i="3"/>
  <c r="D31" i="3" s="1"/>
  <c r="H18" i="3"/>
  <c r="H19" i="3" s="1"/>
  <c r="H20" i="3" s="1"/>
  <c r="I18" i="3"/>
  <c r="G46" i="3"/>
  <c r="F45" i="3" s="1"/>
  <c r="E44" i="3" s="1"/>
  <c r="G33" i="3"/>
  <c r="F32" i="3" s="1"/>
  <c r="C18" i="7" l="1"/>
  <c r="C43" i="7"/>
  <c r="F18" i="7"/>
  <c r="F43" i="7"/>
  <c r="D18" i="7"/>
  <c r="D43" i="7"/>
  <c r="E18" i="7"/>
  <c r="E43" i="7"/>
  <c r="B18" i="7"/>
  <c r="B43" i="7"/>
  <c r="G18" i="7"/>
  <c r="G43" i="7"/>
  <c r="H18" i="7"/>
  <c r="H43" i="7"/>
  <c r="A19" i="7"/>
  <c r="A45" i="7" s="1"/>
  <c r="A44" i="7"/>
  <c r="J18" i="7"/>
  <c r="J44" i="7" s="1"/>
  <c r="I18" i="7"/>
  <c r="A42" i="3"/>
  <c r="D43" i="3"/>
  <c r="C30" i="3"/>
  <c r="B42" i="3"/>
  <c r="E31" i="3"/>
  <c r="B30" i="3"/>
  <c r="J19" i="3"/>
  <c r="I19" i="3"/>
  <c r="I20" i="3" s="1"/>
  <c r="H46" i="3"/>
  <c r="G45" i="3" s="1"/>
  <c r="H33" i="3"/>
  <c r="G32" i="3" s="1"/>
  <c r="F31" i="3" s="1"/>
  <c r="A58" i="7" l="1"/>
  <c r="A71" i="7"/>
  <c r="G19" i="7"/>
  <c r="G45" i="7" s="1"/>
  <c r="G44" i="7"/>
  <c r="C19" i="7"/>
  <c r="C45" i="7" s="1"/>
  <c r="C44" i="7"/>
  <c r="B19" i="7"/>
  <c r="B45" i="7" s="1"/>
  <c r="B44" i="7"/>
  <c r="E19" i="7"/>
  <c r="E45" i="7" s="1"/>
  <c r="E44" i="7"/>
  <c r="D19" i="7"/>
  <c r="D45" i="7" s="1"/>
  <c r="D44" i="7"/>
  <c r="F19" i="7"/>
  <c r="F45" i="7" s="1"/>
  <c r="F44" i="7"/>
  <c r="H19" i="7"/>
  <c r="H45" i="7" s="1"/>
  <c r="H44" i="7"/>
  <c r="I19" i="7"/>
  <c r="I45" i="7" s="1"/>
  <c r="I44" i="7"/>
  <c r="J19" i="7"/>
  <c r="J45" i="7" s="1"/>
  <c r="K19" i="7"/>
  <c r="K45" i="7" s="1"/>
  <c r="B29" i="3"/>
  <c r="E30" i="3"/>
  <c r="F44" i="3"/>
  <c r="A29" i="3"/>
  <c r="A41" i="3"/>
  <c r="C42" i="3"/>
  <c r="D30" i="3"/>
  <c r="K20" i="3"/>
  <c r="J20" i="3"/>
  <c r="I33" i="3"/>
  <c r="H32" i="3" s="1"/>
  <c r="I46" i="3"/>
  <c r="H45" i="3" s="1"/>
  <c r="G44" i="3" s="1"/>
  <c r="K58" i="7" l="1"/>
  <c r="K71" i="7"/>
  <c r="E58" i="7"/>
  <c r="E71" i="7"/>
  <c r="I58" i="7"/>
  <c r="I71" i="7"/>
  <c r="C58" i="7"/>
  <c r="C71" i="7"/>
  <c r="B58" i="7"/>
  <c r="A57" i="7" s="1"/>
  <c r="B71" i="7"/>
  <c r="D58" i="7"/>
  <c r="D71" i="7"/>
  <c r="J58" i="7"/>
  <c r="J71" i="7"/>
  <c r="J70" i="7" s="1"/>
  <c r="H58" i="7"/>
  <c r="H71" i="7"/>
  <c r="G58" i="7"/>
  <c r="G71" i="7"/>
  <c r="F58" i="7"/>
  <c r="F71" i="7"/>
  <c r="A28" i="3"/>
  <c r="D29" i="3"/>
  <c r="C29" i="3"/>
  <c r="B41" i="3"/>
  <c r="A40" i="3" s="1"/>
  <c r="G31" i="3"/>
  <c r="F43" i="3"/>
  <c r="E43" i="3"/>
  <c r="K46" i="3"/>
  <c r="K33" i="3"/>
  <c r="J46" i="3"/>
  <c r="J33" i="3"/>
  <c r="I32" i="3" s="1"/>
  <c r="D57" i="7" l="1"/>
  <c r="D70" i="7"/>
  <c r="G57" i="7"/>
  <c r="I57" i="7"/>
  <c r="H57" i="7"/>
  <c r="E57" i="7"/>
  <c r="C57" i="7"/>
  <c r="F57" i="7"/>
  <c r="F70" i="7"/>
  <c r="H70" i="7"/>
  <c r="B70" i="7"/>
  <c r="A70" i="7"/>
  <c r="G70" i="7"/>
  <c r="J57" i="7"/>
  <c r="B57" i="7"/>
  <c r="C70" i="7"/>
  <c r="I70" i="7"/>
  <c r="I69" i="7" s="1"/>
  <c r="E70" i="7"/>
  <c r="J45" i="3"/>
  <c r="I45" i="3"/>
  <c r="J32" i="3"/>
  <c r="I31" i="3" s="1"/>
  <c r="B28" i="3"/>
  <c r="C28" i="3"/>
  <c r="H31" i="3"/>
  <c r="F30" i="3"/>
  <c r="E42" i="3"/>
  <c r="D42" i="3"/>
  <c r="C56" i="7" l="1"/>
  <c r="C69" i="7"/>
  <c r="D56" i="7"/>
  <c r="I56" i="7"/>
  <c r="H56" i="7"/>
  <c r="H55" i="7" s="1"/>
  <c r="G56" i="7"/>
  <c r="E56" i="7"/>
  <c r="F56" i="7"/>
  <c r="B56" i="7"/>
  <c r="E69" i="7"/>
  <c r="G69" i="7"/>
  <c r="H69" i="7"/>
  <c r="H68" i="7" s="1"/>
  <c r="F69" i="7"/>
  <c r="A69" i="7"/>
  <c r="A56" i="7"/>
  <c r="B69" i="7"/>
  <c r="D69" i="7"/>
  <c r="I44" i="3"/>
  <c r="H44" i="3"/>
  <c r="H30" i="3"/>
  <c r="G30" i="3"/>
  <c r="F29" i="3" s="1"/>
  <c r="D41" i="3"/>
  <c r="C41" i="3"/>
  <c r="E29" i="3"/>
  <c r="B27" i="3"/>
  <c r="A27" i="3"/>
  <c r="C55" i="7" l="1"/>
  <c r="G55" i="7"/>
  <c r="B55" i="7"/>
  <c r="E68" i="7"/>
  <c r="D68" i="7"/>
  <c r="D55" i="7"/>
  <c r="F55" i="7"/>
  <c r="A55" i="7"/>
  <c r="E55" i="7"/>
  <c r="F68" i="7"/>
  <c r="G68" i="7"/>
  <c r="G67" i="7" s="1"/>
  <c r="B68" i="7"/>
  <c r="A68" i="7"/>
  <c r="C68" i="7"/>
  <c r="G54" i="7"/>
  <c r="B54" i="7"/>
  <c r="H43" i="3"/>
  <c r="G43" i="3"/>
  <c r="A26" i="3"/>
  <c r="G29" i="3"/>
  <c r="F28" i="3" s="1"/>
  <c r="E28" i="3"/>
  <c r="D28" i="3"/>
  <c r="C40" i="3"/>
  <c r="B40" i="3"/>
  <c r="F54" i="7" l="1"/>
  <c r="F53" i="7" s="1"/>
  <c r="C54" i="7"/>
  <c r="B53" i="7" s="1"/>
  <c r="A54" i="7"/>
  <c r="A53" i="7" s="1"/>
  <c r="C67" i="7"/>
  <c r="E67" i="7"/>
  <c r="D67" i="7"/>
  <c r="E54" i="7"/>
  <c r="D54" i="7"/>
  <c r="A67" i="7"/>
  <c r="F67" i="7"/>
  <c r="B67" i="7"/>
  <c r="G42" i="3"/>
  <c r="F42" i="3"/>
  <c r="E27" i="3"/>
  <c r="D27" i="3"/>
  <c r="C27" i="3"/>
  <c r="B39" i="3"/>
  <c r="A39" i="3"/>
  <c r="E53" i="7" l="1"/>
  <c r="E52" i="7" s="1"/>
  <c r="B66" i="7"/>
  <c r="E66" i="7"/>
  <c r="D66" i="7"/>
  <c r="C66" i="7"/>
  <c r="C65" i="7" s="1"/>
  <c r="D53" i="7"/>
  <c r="C53" i="7"/>
  <c r="F66" i="7"/>
  <c r="A66" i="7"/>
  <c r="D52" i="7"/>
  <c r="A52" i="7"/>
  <c r="F41" i="3"/>
  <c r="E41" i="3"/>
  <c r="A38" i="3"/>
  <c r="D26" i="3"/>
  <c r="C26" i="3"/>
  <c r="B26" i="3"/>
  <c r="E65" i="7" l="1"/>
  <c r="C52" i="7"/>
  <c r="A65" i="7"/>
  <c r="D65" i="7"/>
  <c r="D64" i="7" s="1"/>
  <c r="B65" i="7"/>
  <c r="B52" i="7"/>
  <c r="B51" i="7" s="1"/>
  <c r="D51" i="7"/>
  <c r="C51" i="7"/>
  <c r="E40" i="3"/>
  <c r="D40" i="3"/>
  <c r="C25" i="3"/>
  <c r="B25" i="3"/>
  <c r="A25" i="3"/>
  <c r="A64" i="7" l="1"/>
  <c r="C64" i="7"/>
  <c r="C63" i="7" s="1"/>
  <c r="B64" i="7"/>
  <c r="A51" i="7"/>
  <c r="A50" i="7" s="1"/>
  <c r="C50" i="7"/>
  <c r="B50" i="7"/>
  <c r="D39" i="3"/>
  <c r="C39" i="3"/>
  <c r="B24" i="3"/>
  <c r="A24" i="3"/>
  <c r="B63" i="7" l="1"/>
  <c r="B62" i="7" s="1"/>
  <c r="A63" i="7"/>
  <c r="B49" i="7"/>
  <c r="A49" i="7"/>
  <c r="C38" i="3"/>
  <c r="B38" i="3"/>
  <c r="A23" i="3"/>
  <c r="K1" i="3" s="1"/>
  <c r="A62" i="7" l="1"/>
  <c r="A61" i="7" s="1"/>
  <c r="A48" i="7"/>
  <c r="B37" i="3"/>
  <c r="A37" i="3"/>
  <c r="A36" i="3" l="1"/>
  <c r="K2" i="3" s="1"/>
</calcChain>
</file>

<file path=xl/sharedStrings.xml><?xml version="1.0" encoding="utf-8"?>
<sst xmlns="http://schemas.openxmlformats.org/spreadsheetml/2006/main" count="389" uniqueCount="229">
  <si>
    <t>UnitedHealth Group</t>
  </si>
  <si>
    <t>$UNH</t>
  </si>
  <si>
    <t>Spot Price:</t>
  </si>
  <si>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</si>
  <si>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</si>
  <si>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</si>
  <si>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</si>
  <si>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</si>
  <si>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</si>
  <si>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</si>
  <si>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</si>
  <si>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Volume</t>
  </si>
  <si>
    <t>Open Interest</t>
  </si>
  <si>
    <t>Implied Volatility</t>
  </si>
  <si>
    <t>Dividend</t>
  </si>
  <si>
    <t>Dividend Yield</t>
  </si>
  <si>
    <t>-</t>
  </si>
  <si>
    <t>UNH211217C00465000</t>
  </si>
  <si>
    <t>UNH211217C00467500</t>
  </si>
  <si>
    <t>UNH211217C00470000</t>
  </si>
  <si>
    <t>UNH211217C00475000</t>
  </si>
  <si>
    <t>UNH211217C00480000</t>
  </si>
  <si>
    <t>UNH211217C00485000</t>
  </si>
  <si>
    <t>UNH211217C00490000</t>
  </si>
  <si>
    <t>UNH211217P00465000</t>
  </si>
  <si>
    <t>UNH211217P00467500</t>
  </si>
  <si>
    <t>UNH211217P00470000</t>
  </si>
  <si>
    <t>UNH211217P00480000</t>
  </si>
  <si>
    <t>UNH211217P00490000</t>
  </si>
  <si>
    <t>UNH211217P00500000</t>
  </si>
  <si>
    <t>2021-12-02 10:02AM EST</t>
  </si>
  <si>
    <t>UNH211223C00465000</t>
  </si>
  <si>
    <t>UNH211223C00470000</t>
  </si>
  <si>
    <t>UNH211223C00475000</t>
  </si>
  <si>
    <t>UNH211223C00480000</t>
  </si>
  <si>
    <t>2021-12-09 12:04PM EST</t>
  </si>
  <si>
    <t>UNH211223C00485000</t>
  </si>
  <si>
    <t>UNH211223C00490000</t>
  </si>
  <si>
    <t>UNH211223C00495000</t>
  </si>
  <si>
    <t>UNH211223P00465000</t>
  </si>
  <si>
    <t>UNH211223P00490000</t>
  </si>
  <si>
    <t>2021-11-26 11:24AM EST</t>
  </si>
  <si>
    <t>S(0)</t>
  </si>
  <si>
    <t>r</t>
  </si>
  <si>
    <t>Given</t>
  </si>
  <si>
    <t>Expiry T</t>
  </si>
  <si>
    <t>Spot S0</t>
  </si>
  <si>
    <t>Strike K</t>
  </si>
  <si>
    <t>Risk free r</t>
  </si>
  <si>
    <t>Volatility sigma</t>
  </si>
  <si>
    <t>Computed</t>
  </si>
  <si>
    <t>Quantile d1</t>
  </si>
  <si>
    <t>Quantile d2</t>
  </si>
  <si>
    <t>Call</t>
  </si>
  <si>
    <t>Put</t>
  </si>
  <si>
    <t>Price</t>
  </si>
  <si>
    <t>Delta</t>
  </si>
  <si>
    <t>Gamma</t>
  </si>
  <si>
    <t>Theta</t>
  </si>
  <si>
    <t>Vega/Kappa</t>
  </si>
  <si>
    <t>Rho</t>
  </si>
  <si>
    <t>Expiry</t>
  </si>
  <si>
    <t>K</t>
  </si>
  <si>
    <t>IV</t>
  </si>
  <si>
    <t>Calls</t>
  </si>
  <si>
    <t>2021-12-10 3:22PM EST</t>
  </si>
  <si>
    <t>2021-12-10 3:50PM EST</t>
  </si>
  <si>
    <t>2021-12-10 3:45PM EST</t>
  </si>
  <si>
    <t>2021-12-10 3:46PM EST</t>
  </si>
  <si>
    <t>UNH211217C00495000</t>
  </si>
  <si>
    <t>2021-12-09 3:40PM EST</t>
  </si>
  <si>
    <t>Puts</t>
  </si>
  <si>
    <t>2021-12-10 3:38PM EST</t>
  </si>
  <si>
    <t>2021-12-10 3:36PM EST</t>
  </si>
  <si>
    <t>2021-12-10 3:48PM EST</t>
  </si>
  <si>
    <t>UNH211217P00475000</t>
  </si>
  <si>
    <t>2021-12-10 11:15AM EST</t>
  </si>
  <si>
    <t>2021-12-10 10:52AM EST</t>
  </si>
  <si>
    <t>2021-12-10 2:32PM EST</t>
  </si>
  <si>
    <t>2021-12-10 3:49PM EST</t>
  </si>
  <si>
    <t>UNH211223C00467500</t>
  </si>
  <si>
    <t>2021-12-10 3:14PM EST</t>
  </si>
  <si>
    <t>2021-12-10 3:41PM EST</t>
  </si>
  <si>
    <t>UNH211223C00472500</t>
  </si>
  <si>
    <t>2021-12-10 11:11AM EST</t>
  </si>
  <si>
    <t>2021-12-10 3:55PM EST</t>
  </si>
  <si>
    <t>2021-12-10 3:23PM EST</t>
  </si>
  <si>
    <t>2021-12-10 3:07PM EST</t>
  </si>
  <si>
    <t>UNH211223P00467500</t>
  </si>
  <si>
    <t>2021-12-10 2:36PM EST</t>
  </si>
  <si>
    <t>UNH211223P00470000</t>
  </si>
  <si>
    <t>2021-12-09 2:09PM EST</t>
  </si>
  <si>
    <t>UNH211223P00472500</t>
  </si>
  <si>
    <t>2021-12-10 2:40PM EST</t>
  </si>
  <si>
    <t>UNH211223P00485000</t>
  </si>
  <si>
    <t>UNH211231C00465000</t>
  </si>
  <si>
    <t>2021-12-10 11:09AM EST</t>
  </si>
  <si>
    <t>UNH211231C00470000</t>
  </si>
  <si>
    <t>2021-12-10 10:41AM EST</t>
  </si>
  <si>
    <t>UNH211231C00475000</t>
  </si>
  <si>
    <t>2021-12-10 10:20AM EST</t>
  </si>
  <si>
    <t>UNH211231C00480000</t>
  </si>
  <si>
    <t>2021-12-10 3:18PM EST</t>
  </si>
  <si>
    <t>UNH211231C00485000</t>
  </si>
  <si>
    <t>2021-12-10 2:53PM EST</t>
  </si>
  <si>
    <t>UNH211231C00490000</t>
  </si>
  <si>
    <t>UNH211231C00495000</t>
  </si>
  <si>
    <t>2021-12-10 3:52PM EST</t>
  </si>
  <si>
    <t>UNH211231P00465000</t>
  </si>
  <si>
    <t>2021-12-09 3:49PM EST</t>
  </si>
  <si>
    <t>UNH211231P00470000</t>
  </si>
  <si>
    <t>2021-12-10 10:40AM EST</t>
  </si>
  <si>
    <t>UNH211231P00475000</t>
  </si>
  <si>
    <t>2021-12-10 2:48PM EST</t>
  </si>
  <si>
    <t>Discount Rates</t>
  </si>
  <si>
    <t>Weeks</t>
  </si>
  <si>
    <t>Extrapolated:</t>
  </si>
  <si>
    <t>(Bid + Ask)/2</t>
  </si>
  <si>
    <t>IV (Price)</t>
  </si>
  <si>
    <t>Increment dt</t>
  </si>
  <si>
    <t>Spot price S0</t>
  </si>
  <si>
    <t>Risk free R</t>
  </si>
  <si>
    <t>upfactor u</t>
  </si>
  <si>
    <t>downfactor d</t>
  </si>
  <si>
    <t>Height N</t>
  </si>
  <si>
    <t>Risk neutral p</t>
  </si>
  <si>
    <t>Risk-neutral 1-p</t>
  </si>
  <si>
    <t>Stock Price</t>
  </si>
  <si>
    <t>Strike price</t>
  </si>
  <si>
    <t>American Call</t>
  </si>
  <si>
    <t>American Put</t>
  </si>
  <si>
    <t>sigma</t>
  </si>
  <si>
    <t>Published</t>
  </si>
  <si>
    <t>Cox-Ross-Rubinstein</t>
  </si>
  <si>
    <t>Black Scholes</t>
  </si>
  <si>
    <t>T</t>
  </si>
  <si>
    <t>Dividend Date</t>
  </si>
  <si>
    <t xml:space="preserve">Frequency </t>
  </si>
  <si>
    <t>Quarterly</t>
  </si>
  <si>
    <t>Forward Dividend</t>
  </si>
  <si>
    <t>Yield</t>
  </si>
  <si>
    <t>Ex-Dividend Date 1</t>
  </si>
  <si>
    <t>Ex-Dividend Date 2</t>
  </si>
  <si>
    <t>Ex-Dividend Date 3</t>
  </si>
  <si>
    <t>delta</t>
  </si>
  <si>
    <t>Ex-Dividend St</t>
  </si>
  <si>
    <t>Observed Option Prices with Expiry 6/17/2022</t>
  </si>
  <si>
    <t>NA</t>
  </si>
  <si>
    <t>Prices Obtained Using CRR Model with Dividends</t>
  </si>
  <si>
    <t>Volatility</t>
  </si>
  <si>
    <t>Mid Price</t>
  </si>
  <si>
    <t>Prices if Dividend 2 is 20% Higher</t>
  </si>
  <si>
    <t>Predicted - Observed</t>
  </si>
  <si>
    <t>Ks</t>
  </si>
  <si>
    <t>[460, 470, 480, 490, 500]</t>
  </si>
  <si>
    <t>Cs</t>
  </si>
  <si>
    <t>Observed Call Options</t>
  </si>
  <si>
    <t xml:space="preserve">Bid </t>
  </si>
  <si>
    <t>Parameters</t>
  </si>
  <si>
    <t>S0</t>
  </si>
  <si>
    <t>[27.65, 20.88, 14.83, 10.05, 6.60]</t>
  </si>
  <si>
    <t>rho</t>
  </si>
  <si>
    <t>S</t>
  </si>
  <si>
    <t>Q1</t>
  </si>
  <si>
    <t>q</t>
  </si>
  <si>
    <t>up</t>
  </si>
  <si>
    <t>down</t>
  </si>
  <si>
    <t>p0</t>
  </si>
  <si>
    <t>Observed Calls</t>
  </si>
  <si>
    <t>Puts Using Implied Tree</t>
  </si>
  <si>
    <t>Observed Puts</t>
  </si>
  <si>
    <t>Puts Using Call-Put Parity</t>
  </si>
  <si>
    <t>Formula</t>
  </si>
  <si>
    <t>P(0) = C(0) - S(0) + K/R</t>
  </si>
  <si>
    <t>Compiled Puts</t>
  </si>
  <si>
    <t>Observed</t>
  </si>
  <si>
    <t>Implied</t>
  </si>
  <si>
    <t>Parity</t>
  </si>
  <si>
    <t>% Difference vs Observed</t>
  </si>
  <si>
    <t>% Difference vs Implied</t>
  </si>
  <si>
    <t>Henry Greenfield</t>
  </si>
  <si>
    <t>Reading this spreadsheet</t>
  </si>
  <si>
    <t>henrygreenfield@wustl.edu</t>
  </si>
  <si>
    <t>Dark blue tabs correspond to observed stock, interest rate, and options data</t>
  </si>
  <si>
    <t>Green tabs correspond to question 1 and implied volatility calculations</t>
  </si>
  <si>
    <t>Light blue tabs correspond to question 2 and CRR dividend pricing</t>
  </si>
  <si>
    <t>Purple tabs correspond to question 3 and implied binomial tree calculations</t>
  </si>
  <si>
    <t>Tabs with the word "compiled" contain final answers for each question</t>
  </si>
  <si>
    <t>This tab contains the notes and methodology for each question</t>
  </si>
  <si>
    <t>General Notes:</t>
  </si>
  <si>
    <t xml:space="preserve">The chosen stock is UnitedHealth Group Incorporated (UNH)  </t>
  </si>
  <si>
    <t>Question 1</t>
  </si>
  <si>
    <t>Interest Rates are estimated using the US Treasury T-Bill discount rates. I chose to extrapolate rates for 1, 2, and 3 weeks despite these not being given.</t>
  </si>
  <si>
    <t xml:space="preserve">For this question I constructed a 10 step binomial tree and used BlackScholes.ods from the class website to compute implied volatilities. I did this by  </t>
  </si>
  <si>
    <t>there were 3 strikes above the spot price and 3 strikes below the spot price.</t>
  </si>
  <si>
    <t>The only issue with this method is that not all expiries have data for put with all of the chosen strikes so we cannot compute the entire implied volatility surface.</t>
  </si>
  <si>
    <t>CRR vs Observed</t>
  </si>
  <si>
    <t>Black Scholes vs Observed</t>
  </si>
  <si>
    <t>On average, the calculated implied volatilities tend to be lower than the published ones.</t>
  </si>
  <si>
    <t>As can be seen on the "IV Compiled" tab, the CRR and Black-Scholes implied volatilities are very close to the published implied volatilities, usually within 1-2%</t>
  </si>
  <si>
    <t>inputing various volatilities, along with the appropriate T and r inputs until the computed option price matched the observed market price. I then</t>
  </si>
  <si>
    <t>This is why the plotted IV surfaces for calls is much more clear than the surfaces for puts.</t>
  </si>
  <si>
    <t>Question 2</t>
  </si>
  <si>
    <t>Since UnitedHealth Group pays a quarterly dividend with the most recent ex-Dividend date being 12/3, I chose to use a T corresponding to an expiry of 6/17/2022</t>
  </si>
  <si>
    <t>This gives a time period that includes 2 dividends. Since this time period is also close to 0.5 years I was easily able to estimate R.</t>
  </si>
  <si>
    <t>I then constructed a 10 step binomial tree, factoring in the 2 dividend payments and used this tree to compute American call and put prices.</t>
  </si>
  <si>
    <t>When constructing this tree, I used the ATM Implied Volatility as my CRR market volatility parameter.</t>
  </si>
  <si>
    <t>The computed call prices were extremely close to the observed market prices, being within $1-$2 of the market price.</t>
  </si>
  <si>
    <t>The computed put prices trended in the correct direction, however they were much further from the market prices than the calls were.</t>
  </si>
  <si>
    <t>I also computed call and put prices when the 2nd dividend is 20% larger than the 1st dividend. As expected, the call prices decreased and the put prices increased</t>
  </si>
  <si>
    <t>to account for the larger drop in stock price after the 2nd ex-dividend date.</t>
  </si>
  <si>
    <t>Question 3</t>
  </si>
  <si>
    <t xml:space="preserve">Since the spot price was close to $478, I chose to use strike prices of 465, 470, 475, 480, 485, 490, and 495 to give plenty of strikes to compare and so  that </t>
  </si>
  <si>
    <t>For this problem I chose T corresponding to an expiry of 1/21/2022, a time period which does not include any dividends.</t>
  </si>
  <si>
    <t>I then took 5 evenly spaced, near-the-money call options and used the ImpliedTree123 program to construct an implied binomial tree.</t>
  </si>
  <si>
    <t>The resulting implied tree prices were close to the market prices for these puts, being about 10% lower than the market price.</t>
  </si>
  <si>
    <t>The parity prices were very close to the prices from the implied binomial tree.</t>
  </si>
  <si>
    <t>I used this tree to price American put options at the 5 strikes and also priced these options using the Call-Put parity formula</t>
  </si>
  <si>
    <t>Treasury T-Bill Discount Rate</t>
  </si>
  <si>
    <t>12/10/2021 EOD</t>
  </si>
  <si>
    <t>IV (Mid Price)</t>
  </si>
  <si>
    <t>We also observe the IV "smile" curve with IV decreasing as strike price approaches spot price</t>
  </si>
  <si>
    <t>CRR vs Black Scholes</t>
  </si>
  <si>
    <t>and the plotted surfaces are very similar. The CRR and Black Scholes predictions are also within about 1% of each other.</t>
  </si>
  <si>
    <t>This is to avoid options where the most recent price is well outside of the bid-ask range.</t>
  </si>
  <si>
    <t xml:space="preserve">Throughout this project, when looking at options data, I chose to use the midpoint between bid and ask price rather than the last execution price. </t>
  </si>
  <si>
    <t>plotted the 3D IV surfaces for calls and puts.</t>
  </si>
  <si>
    <t>All price and options data was recorded on Friday 12/10/2021 at end of day and taken from Yahoo Finance</t>
  </si>
  <si>
    <t>Implied Binomial Tree (Caculated in Octave)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</si>
</sst>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$-409]#,##0.00;[Red]&quot;-&quot;[$$-409]#,##0.00"/>
    <numFmt numFmtId="165" formatCode="0.00000"/>
    <numFmt numFmtId="166" formatCode="0.0000"/>
    <numFmt numFmtId="167" formatCode="&quot;$&quot;#,##0"/>
    <numFmt numFmtId="168" formatCode="&quot;$&quot;#,##0.00"/>
    <numFmt numFmtId="169" formatCode="m/d;@"/>
    <numFmt numFmtId="170" formatCode="0.000000"/>
    <numFmt numFmtId="171" formatCode="0.0%"/>
  </numFmts>
  <fonts count="21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b/>
      <i/>
      <sz val="11"/>
      <color theme="1"/>
      <name val="Liberation Sans"/>
    </font>
    <font>
      <i/>
      <sz val="11"/>
      <color theme="1"/>
      <name val="Liberation Sans"/>
    </font>
    <font>
      <sz val="11"/>
      <color rgb="FFFF0000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13" fillId="0" borderId="0"/>
    <xf numFmtId="0" fontId="14" fillId="0" borderId="0"/>
    <xf numFmtId="0" fontId="11" fillId="7" borderId="0"/>
    <xf numFmtId="0" fontId="8" fillId="5" borderId="0"/>
    <xf numFmtId="0" fontId="16" fillId="8" borderId="0"/>
    <xf numFmtId="0" fontId="17" fillId="8" borderId="1"/>
    <xf numFmtId="0" fontId="6" fillId="0" borderId="0"/>
    <xf numFmtId="0" fontId="7" fillId="2" borderId="0"/>
    <xf numFmtId="0" fontId="7" fillId="3" borderId="0"/>
    <xf numFmtId="0" fontId="6" fillId="4" borderId="0"/>
    <xf numFmtId="0" fontId="9" fillId="6" borderId="0"/>
    <xf numFmtId="0" fontId="10" fillId="0" borderId="0"/>
    <xf numFmtId="0" fontId="12" fillId="0" borderId="0"/>
    <xf numFmtId="0" fontId="15" fillId="0" borderId="0"/>
    <xf numFmtId="0" fontId="5" fillId="0" borderId="0"/>
    <xf numFmtId="0" fontId="5" fillId="0" borderId="0"/>
    <xf numFmtId="0" fontId="8" fillId="0" borderId="0"/>
  </cellStyleXfs>
  <cellXfs count="45">
    <xf numFmtId="0" fontId="0" fillId="0" borderId="0" xfId="0"/>
    <xf numFmtId="14" fontId="0" fillId="0" borderId="0" xfId="0" applyNumberFormat="1"/>
    <xf numFmtId="18" fontId="0" fillId="0" borderId="0" xfId="0" applyNumberFormat="1"/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1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Font="1"/>
    <xf numFmtId="170" fontId="0" fillId="0" borderId="0" xfId="0" applyNumberFormat="1"/>
    <xf numFmtId="171" fontId="0" fillId="0" borderId="0" xfId="0" applyNumberFormat="1"/>
    <xf numFmtId="171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Border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 vertical="center" textRotation="90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/>
  </cellXfs>
  <cellStyles count="19">
    <cellStyle name="Accent" xfId="8" xr:uid="{1E814AB1-D4F0-4D77-8532-1417F1807C2F}"/>
    <cellStyle name="Accent 1" xfId="9" xr:uid="{281B2278-46CE-489B-8C0D-5051E007B3EE}"/>
    <cellStyle name="Accent 2" xfId="10" xr:uid="{763A6948-4EB5-49D5-9BAE-4DFFC6C82B28}"/>
    <cellStyle name="Accent 3" xfId="11" xr:uid="{0D195473-EDD0-467C-9A39-90F23FDE5DDC}"/>
    <cellStyle name="Bad 2" xfId="5" xr:uid="{BA474536-55BA-49A3-8986-295D7808BEA7}"/>
    <cellStyle name="Error" xfId="12" xr:uid="{B58D6FDC-6F7E-4786-9523-FA282824D2BC}"/>
    <cellStyle name="Footnote" xfId="13" xr:uid="{B6A7572D-5151-4725-BF0D-E123B11A29F7}"/>
    <cellStyle name="Good 2" xfId="4" xr:uid="{F4ADA033-0BF5-42C7-987B-51EE7212A85A}"/>
    <cellStyle name="Heading" xfId="14" xr:uid="{2FD88DDB-D499-4AED-AD42-2A5E23F5333A}"/>
    <cellStyle name="Heading 1 2" xfId="2" xr:uid="{8548086C-24CD-4CBB-AA0F-B25F20E15AA6}"/>
    <cellStyle name="Heading 2 2" xfId="3" xr:uid="{A1001631-F897-43E9-8B03-C82156FDB5C4}"/>
    <cellStyle name="Hyperlink" xfId="15" xr:uid="{1380E149-FDE4-4CF4-B1EA-A7D36B179DAF}"/>
    <cellStyle name="Neutral 2" xfId="6" xr:uid="{ABCBD6C7-7E5A-4B1F-8C8B-EC372E25EAA4}"/>
    <cellStyle name="Normal" xfId="0" builtinId="0"/>
    <cellStyle name="Normal 2" xfId="1" xr:uid="{3F6EF120-B979-489E-9E7C-0A84AC877426}"/>
    <cellStyle name="Note 2" xfId="7" xr:uid="{85AC4060-200F-4FF2-AE6D-5172DE105B67}"/>
    <cellStyle name="Status" xfId="16" xr:uid="{5ED4DD0A-9AE9-49FE-82B3-6B684829CB9D}"/>
    <cellStyle name="Text" xfId="17" xr:uid="{318BF73E-747B-4348-A0D3-FFDB2B46D637}"/>
    <cellStyle name="Warning" xfId="18" xr:uid="{3C33BD4F-3931-4C38-A527-020882D8EA9A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Volatility (Published Calls)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'Options Data'!$O$4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Data'!$O$5:$O$10</c:f>
              <c:numCache>
                <c:formatCode>0.00%</c:formatCode>
                <c:ptCount val="6"/>
                <c:pt idx="0">
                  <c:v>0.1986</c:v>
                </c:pt>
                <c:pt idx="1">
                  <c:v>0.24379999999999999</c:v>
                </c:pt>
                <c:pt idx="2">
                  <c:v>0.21079999999999999</c:v>
                </c:pt>
                <c:pt idx="3">
                  <c:v>0.16420000000000001</c:v>
                </c:pt>
                <c:pt idx="4">
                  <c:v>0.16420000000000001</c:v>
                </c:pt>
                <c:pt idx="5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41D8-B417-FC226225ED36}"/>
            </c:ext>
          </c:extLst>
        </c:ser>
        <c:ser>
          <c:idx val="1"/>
          <c:order val="1"/>
          <c:tx>
            <c:strRef>
              <c:f>'Options Data'!$P$4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Data'!$P$5:$P$10</c:f>
              <c:numCache>
                <c:formatCode>0.00%</c:formatCode>
                <c:ptCount val="6"/>
                <c:pt idx="0">
                  <c:v>0.2208</c:v>
                </c:pt>
                <c:pt idx="1">
                  <c:v>0.20979999999999999</c:v>
                </c:pt>
                <c:pt idx="2">
                  <c:v>0.1772</c:v>
                </c:pt>
                <c:pt idx="3">
                  <c:v>0.20599999999999999</c:v>
                </c:pt>
                <c:pt idx="4">
                  <c:v>0.19750000000000001</c:v>
                </c:pt>
                <c:pt idx="5">
                  <c:v>0.19439999999999999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3-41D8-B417-FC226225ED36}"/>
            </c:ext>
          </c:extLst>
        </c:ser>
        <c:ser>
          <c:idx val="2"/>
          <c:order val="2"/>
          <c:tx>
            <c:strRef>
              <c:f>'Options Data'!$Q$4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Data'!$Q$5:$Q$10</c:f>
              <c:numCache>
                <c:formatCode>0.00%</c:formatCode>
                <c:ptCount val="6"/>
                <c:pt idx="0">
                  <c:v>0.23469999999999999</c:v>
                </c:pt>
                <c:pt idx="1">
                  <c:v>0.22850000000000001</c:v>
                </c:pt>
                <c:pt idx="2">
                  <c:v>0.2195</c:v>
                </c:pt>
                <c:pt idx="3">
                  <c:v>0.2145</c:v>
                </c:pt>
                <c:pt idx="4">
                  <c:v>0.2009</c:v>
                </c:pt>
                <c:pt idx="5">
                  <c:v>0.19769999999999999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3-41D8-B417-FC226225ED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3565280"/>
        <c:axId val="223549888"/>
        <c:axId val="237151200"/>
      </c:surface3DChart>
      <c:catAx>
        <c:axId val="2235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9888"/>
        <c:crosses val="autoZero"/>
        <c:auto val="1"/>
        <c:lblAlgn val="ctr"/>
        <c:lblOffset val="100"/>
        <c:noMultiLvlLbl val="0"/>
      </c:catAx>
      <c:valAx>
        <c:axId val="223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65280"/>
        <c:crosses val="autoZero"/>
        <c:crossBetween val="midCat"/>
      </c:valAx>
      <c:serAx>
        <c:axId val="2371512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988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Surface (CRR Puts)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'CRR IV'!$V$25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IV'!$V$26:$V$31</c:f>
              <c:numCache>
                <c:formatCode>0.00%</c:formatCode>
                <c:ptCount val="6"/>
                <c:pt idx="0">
                  <c:v>0.2225</c:v>
                </c:pt>
                <c:pt idx="1">
                  <c:v>0.222</c:v>
                </c:pt>
                <c:pt idx="2">
                  <c:v>0.311</c:v>
                </c:pt>
                <c:pt idx="3">
                  <c:v>0.19850000000000001</c:v>
                </c:pt>
                <c:pt idx="4">
                  <c:v>0</c:v>
                </c:pt>
                <c:pt idx="5">
                  <c:v>0.2155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C-4907-9975-7644EBCBC3B2}"/>
            </c:ext>
          </c:extLst>
        </c:ser>
        <c:ser>
          <c:idx val="1"/>
          <c:order val="1"/>
          <c:tx>
            <c:strRef>
              <c:f>'CRR IV'!$W$25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IV'!$W$26:$W$31</c:f>
              <c:numCache>
                <c:formatCode>0.00%</c:formatCode>
                <c:ptCount val="6"/>
                <c:pt idx="0">
                  <c:v>0.23860000000000001</c:v>
                </c:pt>
                <c:pt idx="1">
                  <c:v>0.20949999999999999</c:v>
                </c:pt>
                <c:pt idx="4">
                  <c:v>0.17780000000000001</c:v>
                </c:pt>
                <c:pt idx="5">
                  <c:v>0.19239999999999999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C-4907-9975-7644EBCBC3B2}"/>
            </c:ext>
          </c:extLst>
        </c:ser>
        <c:ser>
          <c:idx val="2"/>
          <c:order val="2"/>
          <c:tx>
            <c:strRef>
              <c:f>'CRR IV'!$X$25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IV'!$X$26:$X$31</c:f>
              <c:numCache>
                <c:formatCode>0.00%</c:formatCode>
                <c:ptCount val="6"/>
                <c:pt idx="0">
                  <c:v>0.21079999999999999</c:v>
                </c:pt>
                <c:pt idx="1">
                  <c:v>0.20399999999999999</c:v>
                </c:pt>
                <c:pt idx="2">
                  <c:v>0.20330000000000001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C-4907-9975-7644EBCBC3B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023680"/>
        <c:axId val="226019104"/>
        <c:axId val="762104784"/>
      </c:surface3DChart>
      <c:catAx>
        <c:axId val="2260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9104"/>
        <c:crosses val="autoZero"/>
        <c:auto val="1"/>
        <c:lblAlgn val="ctr"/>
        <c:lblOffset val="100"/>
        <c:noMultiLvlLbl val="0"/>
      </c:catAx>
      <c:valAx>
        <c:axId val="22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23680"/>
        <c:crosses val="autoZero"/>
        <c:crossBetween val="midCat"/>
      </c:valAx>
      <c:serAx>
        <c:axId val="762104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9104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Surface (BS</a:t>
            </a:r>
            <a:r>
              <a:rPr lang="en-US" baseline="0"/>
              <a:t> Calls)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'BS IV'!$I$26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IV'!$I$27:$I$32</c:f>
              <c:numCache>
                <c:formatCode>0.00%</c:formatCode>
                <c:ptCount val="6"/>
                <c:pt idx="0">
                  <c:v>0.22850000000000001</c:v>
                </c:pt>
                <c:pt idx="1">
                  <c:v>0.2235</c:v>
                </c:pt>
                <c:pt idx="2">
                  <c:v>0.1983</c:v>
                </c:pt>
                <c:pt idx="3">
                  <c:v>0.17080000000000001</c:v>
                </c:pt>
                <c:pt idx="4">
                  <c:v>0.17799999999999999</c:v>
                </c:pt>
                <c:pt idx="5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E-4E5F-BEA6-36AD358241E9}"/>
            </c:ext>
          </c:extLst>
        </c:ser>
        <c:ser>
          <c:idx val="1"/>
          <c:order val="1"/>
          <c:tx>
            <c:strRef>
              <c:f>'BS IV'!$J$26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IV'!$J$27:$J$32</c:f>
              <c:numCache>
                <c:formatCode>0.00%</c:formatCode>
                <c:ptCount val="6"/>
                <c:pt idx="0">
                  <c:v>0.2172</c:v>
                </c:pt>
                <c:pt idx="1">
                  <c:v>0.2001</c:v>
                </c:pt>
                <c:pt idx="2">
                  <c:v>0.1777</c:v>
                </c:pt>
                <c:pt idx="3">
                  <c:v>0.18820000000000001</c:v>
                </c:pt>
                <c:pt idx="4">
                  <c:v>0.186</c:v>
                </c:pt>
                <c:pt idx="5">
                  <c:v>0.1915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E5F-BEA6-36AD358241E9}"/>
            </c:ext>
          </c:extLst>
        </c:ser>
        <c:ser>
          <c:idx val="2"/>
          <c:order val="2"/>
          <c:tx>
            <c:strRef>
              <c:f>'BS IV'!$K$26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IV'!$K$27:$K$32</c:f>
              <c:numCache>
                <c:formatCode>0.00%</c:formatCode>
                <c:ptCount val="6"/>
                <c:pt idx="0">
                  <c:v>0.23019999999999999</c:v>
                </c:pt>
                <c:pt idx="1">
                  <c:v>0.2142</c:v>
                </c:pt>
                <c:pt idx="2">
                  <c:v>0.20369999999999999</c:v>
                </c:pt>
                <c:pt idx="3">
                  <c:v>0.19520000000000001</c:v>
                </c:pt>
                <c:pt idx="4">
                  <c:v>0.19370000000000001</c:v>
                </c:pt>
                <c:pt idx="5">
                  <c:v>0.18940000000000001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E-4E5F-BEA6-36AD358241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012032"/>
        <c:axId val="226012448"/>
        <c:axId val="762139584"/>
      </c:surface3DChart>
      <c:catAx>
        <c:axId val="2260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448"/>
        <c:crosses val="autoZero"/>
        <c:auto val="1"/>
        <c:lblAlgn val="ctr"/>
        <c:lblOffset val="100"/>
        <c:noMultiLvlLbl val="0"/>
      </c:catAx>
      <c:valAx>
        <c:axId val="226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032"/>
        <c:crosses val="autoZero"/>
        <c:crossBetween val="midCat"/>
      </c:valAx>
      <c:serAx>
        <c:axId val="762139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448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</a:t>
            </a:r>
            <a:r>
              <a:rPr lang="en-US" baseline="0"/>
              <a:t> Surface (BS Puts)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'BS IV'!$P$26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IV'!$P$27:$P$32</c:f>
              <c:numCache>
                <c:formatCode>0.00%</c:formatCode>
                <c:ptCount val="6"/>
                <c:pt idx="0">
                  <c:v>0.25800000000000001</c:v>
                </c:pt>
                <c:pt idx="1">
                  <c:v>0.23250000000000001</c:v>
                </c:pt>
                <c:pt idx="2">
                  <c:v>0.316</c:v>
                </c:pt>
                <c:pt idx="3">
                  <c:v>0.20050000000000001</c:v>
                </c:pt>
                <c:pt idx="5">
                  <c:v>0.24179999999999999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1-41FB-9B55-AB2E33AF5F9E}"/>
            </c:ext>
          </c:extLst>
        </c:ser>
        <c:ser>
          <c:idx val="1"/>
          <c:order val="1"/>
          <c:tx>
            <c:strRef>
              <c:f>'BS IV'!$Q$26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IV'!$Q$27:$Q$32</c:f>
              <c:numCache>
                <c:formatCode>0.00%</c:formatCode>
                <c:ptCount val="6"/>
                <c:pt idx="0">
                  <c:v>0.24929999999999999</c:v>
                </c:pt>
                <c:pt idx="1">
                  <c:v>0.2198</c:v>
                </c:pt>
                <c:pt idx="4">
                  <c:v>0.18609999999999999</c:v>
                </c:pt>
                <c:pt idx="5">
                  <c:v>0.20130000000000001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1-41FB-9B55-AB2E33AF5F9E}"/>
            </c:ext>
          </c:extLst>
        </c:ser>
        <c:ser>
          <c:idx val="2"/>
          <c:order val="2"/>
          <c:tx>
            <c:strRef>
              <c:f>'BS IV'!$R$26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IV'!$R$27:$R$32</c:f>
              <c:numCache>
                <c:formatCode>0.00%</c:formatCode>
                <c:ptCount val="6"/>
                <c:pt idx="0">
                  <c:v>0.2208</c:v>
                </c:pt>
                <c:pt idx="1">
                  <c:v>0.21279999999999999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1-41FB-9B55-AB2E33AF5F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4972672"/>
        <c:axId val="754974752"/>
        <c:axId val="739236384"/>
      </c:surface3DChart>
      <c:catAx>
        <c:axId val="7549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4752"/>
        <c:crosses val="autoZero"/>
        <c:auto val="1"/>
        <c:lblAlgn val="ctr"/>
        <c:lblOffset val="100"/>
        <c:noMultiLvlLbl val="0"/>
      </c:catAx>
      <c:valAx>
        <c:axId val="754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672"/>
        <c:crosses val="autoZero"/>
        <c:crossBetween val="midCat"/>
      </c:valAx>
      <c:serAx>
        <c:axId val="7392363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4752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(Published Puts)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'Options Data'!$V$4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Data'!$V$5:$V$10</c:f>
              <c:numCache>
                <c:formatCode>0.00%</c:formatCode>
                <c:ptCount val="6"/>
                <c:pt idx="0">
                  <c:v>0.22109999999999999</c:v>
                </c:pt>
                <c:pt idx="1">
                  <c:v>0.2223</c:v>
                </c:pt>
                <c:pt idx="2">
                  <c:v>0.311</c:v>
                </c:pt>
                <c:pt idx="3">
                  <c:v>0.20230000000000001</c:v>
                </c:pt>
                <c:pt idx="5">
                  <c:v>0.25940000000000002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2EB-8D9A-410453D918B4}"/>
            </c:ext>
          </c:extLst>
        </c:ser>
        <c:ser>
          <c:idx val="1"/>
          <c:order val="1"/>
          <c:tx>
            <c:strRef>
              <c:f>'Options Data'!$W$4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Data'!$W$5:$W$10</c:f>
              <c:numCache>
                <c:formatCode>0.00%</c:formatCode>
                <c:ptCount val="6"/>
                <c:pt idx="0">
                  <c:v>0.26229999999999998</c:v>
                </c:pt>
                <c:pt idx="1">
                  <c:v>0.2296</c:v>
                </c:pt>
                <c:pt idx="4">
                  <c:v>0.1981</c:v>
                </c:pt>
                <c:pt idx="5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6-42EB-8D9A-410453D918B4}"/>
            </c:ext>
          </c:extLst>
        </c:ser>
        <c:ser>
          <c:idx val="2"/>
          <c:order val="2"/>
          <c:tx>
            <c:strRef>
              <c:f>'Options Data'!$X$4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Data'!$X$5:$X$10</c:f>
              <c:numCache>
                <c:formatCode>0.00%</c:formatCode>
                <c:ptCount val="6"/>
                <c:pt idx="0">
                  <c:v>0.21920000000000001</c:v>
                </c:pt>
                <c:pt idx="1">
                  <c:v>0.22900000000000001</c:v>
                </c:pt>
                <c:pt idx="2">
                  <c:v>0.21890000000000001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6-42EB-8D9A-410453D918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3453664"/>
        <c:axId val="753458656"/>
        <c:axId val="762103392"/>
      </c:surface3DChart>
      <c:catAx>
        <c:axId val="7534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8656"/>
        <c:crosses val="autoZero"/>
        <c:auto val="1"/>
        <c:lblAlgn val="ctr"/>
        <c:lblOffset val="100"/>
        <c:noMultiLvlLbl val="0"/>
      </c:catAx>
      <c:valAx>
        <c:axId val="753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3664"/>
        <c:crosses val="autoZero"/>
        <c:crossBetween val="midCat"/>
      </c:valAx>
      <c:serAx>
        <c:axId val="762103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86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Surface (CRR Calls)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'CRR IV'!$O$25</c:f>
              <c:strCache>
                <c:ptCount val="1"/>
                <c:pt idx="0">
                  <c:v>0.02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IV'!$O$26:$O$31</c:f>
              <c:numCache>
                <c:formatCode>0.00%</c:formatCode>
                <c:ptCount val="6"/>
                <c:pt idx="0">
                  <c:v>0.187</c:v>
                </c:pt>
                <c:pt idx="1">
                  <c:v>0.214</c:v>
                </c:pt>
                <c:pt idx="2">
                  <c:v>0.192</c:v>
                </c:pt>
                <c:pt idx="3">
                  <c:v>0.16800000000000001</c:v>
                </c:pt>
                <c:pt idx="4">
                  <c:v>0.17050000000000001</c:v>
                </c:pt>
                <c:pt idx="5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7-4AB4-80B0-199D6AD283AF}"/>
            </c:ext>
          </c:extLst>
        </c:ser>
        <c:ser>
          <c:idx val="1"/>
          <c:order val="1"/>
          <c:tx>
            <c:strRef>
              <c:f>'CRR IV'!$P$25</c:f>
              <c:strCache>
                <c:ptCount val="1"/>
                <c:pt idx="0">
                  <c:v>0.04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IV'!$P$26:$P$31</c:f>
              <c:numCache>
                <c:formatCode>0.00%</c:formatCode>
                <c:ptCount val="6"/>
                <c:pt idx="0">
                  <c:v>0.20200000000000001</c:v>
                </c:pt>
                <c:pt idx="1">
                  <c:v>0.1908</c:v>
                </c:pt>
                <c:pt idx="2">
                  <c:v>0.1736</c:v>
                </c:pt>
                <c:pt idx="3">
                  <c:v>0.18790000000000001</c:v>
                </c:pt>
                <c:pt idx="4">
                  <c:v>0.17780000000000001</c:v>
                </c:pt>
                <c:pt idx="5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7-4AB4-80B0-199D6AD283AF}"/>
            </c:ext>
          </c:extLst>
        </c:ser>
        <c:ser>
          <c:idx val="2"/>
          <c:order val="2"/>
          <c:tx>
            <c:strRef>
              <c:f>'CRR IV'!$Q$25</c:f>
              <c:strCache>
                <c:ptCount val="1"/>
                <c:pt idx="0">
                  <c:v>0.06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IV'!$Q$26:$Q$31</c:f>
              <c:numCache>
                <c:formatCode>0.00%</c:formatCode>
                <c:ptCount val="6"/>
                <c:pt idx="0">
                  <c:v>0.21970000000000001</c:v>
                </c:pt>
                <c:pt idx="1">
                  <c:v>0.20530000000000001</c:v>
                </c:pt>
                <c:pt idx="2">
                  <c:v>0.20130000000000001</c:v>
                </c:pt>
                <c:pt idx="3">
                  <c:v>0.1958</c:v>
                </c:pt>
                <c:pt idx="4">
                  <c:v>0.1862</c:v>
                </c:pt>
                <c:pt idx="5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7-4AB4-80B0-199D6AD283A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13394528"/>
        <c:axId val="213394944"/>
        <c:axId val="223514800"/>
      </c:surface3DChart>
      <c:catAx>
        <c:axId val="2133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944"/>
        <c:crosses val="autoZero"/>
        <c:auto val="1"/>
        <c:lblAlgn val="ctr"/>
        <c:lblOffset val="100"/>
        <c:noMultiLvlLbl val="0"/>
      </c:catAx>
      <c:valAx>
        <c:axId val="2133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528"/>
        <c:crosses val="autoZero"/>
        <c:crossBetween val="midCat"/>
      </c:valAx>
      <c:serAx>
        <c:axId val="2235148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94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Surface (CRR Puts)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'CRR IV'!$V$25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IV'!$V$26:$V$31</c:f>
              <c:numCache>
                <c:formatCode>0.00%</c:formatCode>
                <c:ptCount val="6"/>
                <c:pt idx="0">
                  <c:v>0.2225</c:v>
                </c:pt>
                <c:pt idx="1">
                  <c:v>0.222</c:v>
                </c:pt>
                <c:pt idx="2">
                  <c:v>0.311</c:v>
                </c:pt>
                <c:pt idx="3">
                  <c:v>0.19850000000000001</c:v>
                </c:pt>
                <c:pt idx="4">
                  <c:v>0</c:v>
                </c:pt>
                <c:pt idx="5">
                  <c:v>0.2155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5-4E6F-814F-3E6FB47A5561}"/>
            </c:ext>
          </c:extLst>
        </c:ser>
        <c:ser>
          <c:idx val="1"/>
          <c:order val="1"/>
          <c:tx>
            <c:strRef>
              <c:f>'CRR IV'!$W$25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IV'!$W$26:$W$31</c:f>
              <c:numCache>
                <c:formatCode>0.00%</c:formatCode>
                <c:ptCount val="6"/>
                <c:pt idx="0">
                  <c:v>0.23860000000000001</c:v>
                </c:pt>
                <c:pt idx="1">
                  <c:v>0.20949999999999999</c:v>
                </c:pt>
                <c:pt idx="4">
                  <c:v>0.17780000000000001</c:v>
                </c:pt>
                <c:pt idx="5">
                  <c:v>0.19239999999999999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5-4E6F-814F-3E6FB47A5561}"/>
            </c:ext>
          </c:extLst>
        </c:ser>
        <c:ser>
          <c:idx val="2"/>
          <c:order val="2"/>
          <c:tx>
            <c:strRef>
              <c:f>'CRR IV'!$X$25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'CRR IV'!$U$26:$U$31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IV'!$X$26:$X$31</c:f>
              <c:numCache>
                <c:formatCode>0.00%</c:formatCode>
                <c:ptCount val="6"/>
                <c:pt idx="0">
                  <c:v>0.21079999999999999</c:v>
                </c:pt>
                <c:pt idx="1">
                  <c:v>0.20399999999999999</c:v>
                </c:pt>
                <c:pt idx="2">
                  <c:v>0.20330000000000001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5-4E6F-814F-3E6FB47A55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023680"/>
        <c:axId val="226019104"/>
        <c:axId val="762104784"/>
      </c:surface3DChart>
      <c:catAx>
        <c:axId val="2260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9104"/>
        <c:crosses val="autoZero"/>
        <c:auto val="1"/>
        <c:lblAlgn val="ctr"/>
        <c:lblOffset val="100"/>
        <c:noMultiLvlLbl val="0"/>
      </c:catAx>
      <c:valAx>
        <c:axId val="22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23680"/>
        <c:crosses val="autoZero"/>
        <c:crossBetween val="midCat"/>
      </c:valAx>
      <c:serAx>
        <c:axId val="762104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910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Surface (BS</a:t>
            </a:r>
            <a:r>
              <a:rPr lang="en-US" baseline="0"/>
              <a:t> Calls)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'BS IV'!$I$26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IV'!$I$27:$I$32</c:f>
              <c:numCache>
                <c:formatCode>0.00%</c:formatCode>
                <c:ptCount val="6"/>
                <c:pt idx="0">
                  <c:v>0.22850000000000001</c:v>
                </c:pt>
                <c:pt idx="1">
                  <c:v>0.2235</c:v>
                </c:pt>
                <c:pt idx="2">
                  <c:v>0.1983</c:v>
                </c:pt>
                <c:pt idx="3">
                  <c:v>0.17080000000000001</c:v>
                </c:pt>
                <c:pt idx="4">
                  <c:v>0.17799999999999999</c:v>
                </c:pt>
                <c:pt idx="5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2-4118-B68F-74EFDAB1FE78}"/>
            </c:ext>
          </c:extLst>
        </c:ser>
        <c:ser>
          <c:idx val="1"/>
          <c:order val="1"/>
          <c:tx>
            <c:strRef>
              <c:f>'BS IV'!$J$26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IV'!$J$27:$J$32</c:f>
              <c:numCache>
                <c:formatCode>0.00%</c:formatCode>
                <c:ptCount val="6"/>
                <c:pt idx="0">
                  <c:v>0.2172</c:v>
                </c:pt>
                <c:pt idx="1">
                  <c:v>0.2001</c:v>
                </c:pt>
                <c:pt idx="2">
                  <c:v>0.1777</c:v>
                </c:pt>
                <c:pt idx="3">
                  <c:v>0.18820000000000001</c:v>
                </c:pt>
                <c:pt idx="4">
                  <c:v>0.186</c:v>
                </c:pt>
                <c:pt idx="5">
                  <c:v>0.1915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2-4118-B68F-74EFDAB1FE78}"/>
            </c:ext>
          </c:extLst>
        </c:ser>
        <c:ser>
          <c:idx val="2"/>
          <c:order val="2"/>
          <c:tx>
            <c:strRef>
              <c:f>'BS IV'!$K$26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'BS IV'!$H$27:$H$32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IV'!$K$27:$K$32</c:f>
              <c:numCache>
                <c:formatCode>0.00%</c:formatCode>
                <c:ptCount val="6"/>
                <c:pt idx="0">
                  <c:v>0.23019999999999999</c:v>
                </c:pt>
                <c:pt idx="1">
                  <c:v>0.2142</c:v>
                </c:pt>
                <c:pt idx="2">
                  <c:v>0.20369999999999999</c:v>
                </c:pt>
                <c:pt idx="3">
                  <c:v>0.19520000000000001</c:v>
                </c:pt>
                <c:pt idx="4">
                  <c:v>0.19370000000000001</c:v>
                </c:pt>
                <c:pt idx="5">
                  <c:v>0.18940000000000001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2-4118-B68F-74EFDAB1FE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012032"/>
        <c:axId val="226012448"/>
        <c:axId val="762139584"/>
      </c:surface3DChart>
      <c:catAx>
        <c:axId val="2260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448"/>
        <c:crosses val="autoZero"/>
        <c:auto val="1"/>
        <c:lblAlgn val="ctr"/>
        <c:lblOffset val="100"/>
        <c:noMultiLvlLbl val="0"/>
      </c:catAx>
      <c:valAx>
        <c:axId val="226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032"/>
        <c:crosses val="autoZero"/>
        <c:crossBetween val="midCat"/>
      </c:valAx>
      <c:serAx>
        <c:axId val="762139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244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</a:t>
            </a:r>
            <a:r>
              <a:rPr lang="en-US" baseline="0"/>
              <a:t> Surface (BS Puts)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'BS IV'!$P$26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IV'!$P$27:$P$32</c:f>
              <c:numCache>
                <c:formatCode>0.00%</c:formatCode>
                <c:ptCount val="6"/>
                <c:pt idx="0">
                  <c:v>0.25800000000000001</c:v>
                </c:pt>
                <c:pt idx="1">
                  <c:v>0.23250000000000001</c:v>
                </c:pt>
                <c:pt idx="2">
                  <c:v>0.316</c:v>
                </c:pt>
                <c:pt idx="3">
                  <c:v>0.20050000000000001</c:v>
                </c:pt>
                <c:pt idx="5">
                  <c:v>0.24179999999999999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A-41EC-A4E4-2D10592C2EAE}"/>
            </c:ext>
          </c:extLst>
        </c:ser>
        <c:ser>
          <c:idx val="1"/>
          <c:order val="1"/>
          <c:tx>
            <c:strRef>
              <c:f>'BS IV'!$Q$26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IV'!$Q$27:$Q$32</c:f>
              <c:numCache>
                <c:formatCode>0.00%</c:formatCode>
                <c:ptCount val="6"/>
                <c:pt idx="0">
                  <c:v>0.24929999999999999</c:v>
                </c:pt>
                <c:pt idx="1">
                  <c:v>0.2198</c:v>
                </c:pt>
                <c:pt idx="4">
                  <c:v>0.18609999999999999</c:v>
                </c:pt>
                <c:pt idx="5">
                  <c:v>0.20130000000000001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A-41EC-A4E4-2D10592C2EAE}"/>
            </c:ext>
          </c:extLst>
        </c:ser>
        <c:ser>
          <c:idx val="2"/>
          <c:order val="2"/>
          <c:tx>
            <c:strRef>
              <c:f>'BS IV'!$R$26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'BS IV'!$O$27:$O$32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'BS IV'!$R$27:$R$32</c:f>
              <c:numCache>
                <c:formatCode>0.00%</c:formatCode>
                <c:ptCount val="6"/>
                <c:pt idx="0">
                  <c:v>0.2208</c:v>
                </c:pt>
                <c:pt idx="1">
                  <c:v>0.21279999999999999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A-41EC-A4E4-2D10592C2E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4972672"/>
        <c:axId val="754974752"/>
        <c:axId val="739236384"/>
      </c:surface3DChart>
      <c:catAx>
        <c:axId val="7549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4752"/>
        <c:crosses val="autoZero"/>
        <c:auto val="1"/>
        <c:lblAlgn val="ctr"/>
        <c:lblOffset val="100"/>
        <c:noMultiLvlLbl val="0"/>
      </c:catAx>
      <c:valAx>
        <c:axId val="754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672"/>
        <c:crosses val="autoZero"/>
        <c:crossBetween val="midCat"/>
      </c:valAx>
      <c:serAx>
        <c:axId val="7392363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47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Volatility (Published Calls)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'Options Data'!$O$4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Data'!$O$5:$O$10</c:f>
              <c:numCache>
                <c:formatCode>0.00%</c:formatCode>
                <c:ptCount val="6"/>
                <c:pt idx="0">
                  <c:v>0.1986</c:v>
                </c:pt>
                <c:pt idx="1">
                  <c:v>0.24379999999999999</c:v>
                </c:pt>
                <c:pt idx="2">
                  <c:v>0.21079999999999999</c:v>
                </c:pt>
                <c:pt idx="3">
                  <c:v>0.16420000000000001</c:v>
                </c:pt>
                <c:pt idx="4">
                  <c:v>0.16420000000000001</c:v>
                </c:pt>
                <c:pt idx="5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2-4B3E-BC22-183680DF6F19}"/>
            </c:ext>
          </c:extLst>
        </c:ser>
        <c:ser>
          <c:idx val="1"/>
          <c:order val="1"/>
          <c:tx>
            <c:strRef>
              <c:f>'Options Data'!$P$4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Data'!$P$5:$P$10</c:f>
              <c:numCache>
                <c:formatCode>0.00%</c:formatCode>
                <c:ptCount val="6"/>
                <c:pt idx="0">
                  <c:v>0.2208</c:v>
                </c:pt>
                <c:pt idx="1">
                  <c:v>0.20979999999999999</c:v>
                </c:pt>
                <c:pt idx="2">
                  <c:v>0.1772</c:v>
                </c:pt>
                <c:pt idx="3">
                  <c:v>0.20599999999999999</c:v>
                </c:pt>
                <c:pt idx="4">
                  <c:v>0.19750000000000001</c:v>
                </c:pt>
                <c:pt idx="5">
                  <c:v>0.19439999999999999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2-4B3E-BC22-183680DF6F19}"/>
            </c:ext>
          </c:extLst>
        </c:ser>
        <c:ser>
          <c:idx val="2"/>
          <c:order val="2"/>
          <c:tx>
            <c:strRef>
              <c:f>'Options Data'!$Q$4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'Options Data'!$N$5:$N$10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Data'!$Q$5:$Q$10</c:f>
              <c:numCache>
                <c:formatCode>0.00%</c:formatCode>
                <c:ptCount val="6"/>
                <c:pt idx="0">
                  <c:v>0.23469999999999999</c:v>
                </c:pt>
                <c:pt idx="1">
                  <c:v>0.22850000000000001</c:v>
                </c:pt>
                <c:pt idx="2">
                  <c:v>0.2195</c:v>
                </c:pt>
                <c:pt idx="3">
                  <c:v>0.2145</c:v>
                </c:pt>
                <c:pt idx="4">
                  <c:v>0.2009</c:v>
                </c:pt>
                <c:pt idx="5">
                  <c:v>0.19769999999999999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2-4B3E-BC22-183680DF6F1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3565280"/>
        <c:axId val="223549888"/>
        <c:axId val="237151200"/>
      </c:surface3DChart>
      <c:catAx>
        <c:axId val="2235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9888"/>
        <c:crosses val="autoZero"/>
        <c:auto val="1"/>
        <c:lblAlgn val="ctr"/>
        <c:lblOffset val="100"/>
        <c:noMultiLvlLbl val="0"/>
      </c:catAx>
      <c:valAx>
        <c:axId val="223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65280"/>
        <c:crosses val="autoZero"/>
        <c:crossBetween val="midCat"/>
      </c:valAx>
      <c:serAx>
        <c:axId val="2371512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9888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 (Published Puts)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'Options Data'!$V$4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Data'!$V$5:$V$10</c:f>
              <c:numCache>
                <c:formatCode>0.00%</c:formatCode>
                <c:ptCount val="6"/>
                <c:pt idx="0">
                  <c:v>0.22109999999999999</c:v>
                </c:pt>
                <c:pt idx="1">
                  <c:v>0.2223</c:v>
                </c:pt>
                <c:pt idx="2">
                  <c:v>0.311</c:v>
                </c:pt>
                <c:pt idx="3">
                  <c:v>0.20230000000000001</c:v>
                </c:pt>
                <c:pt idx="5">
                  <c:v>0.25940000000000002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C67-BB63-FC5CAE4DD650}"/>
            </c:ext>
          </c:extLst>
        </c:ser>
        <c:ser>
          <c:idx val="1"/>
          <c:order val="1"/>
          <c:tx>
            <c:strRef>
              <c:f>'Options Data'!$W$4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Data'!$W$5:$W$10</c:f>
              <c:numCache>
                <c:formatCode>0.00%</c:formatCode>
                <c:ptCount val="6"/>
                <c:pt idx="0">
                  <c:v>0.26229999999999998</c:v>
                </c:pt>
                <c:pt idx="1">
                  <c:v>0.2296</c:v>
                </c:pt>
                <c:pt idx="4">
                  <c:v>0.1981</c:v>
                </c:pt>
                <c:pt idx="5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C67-BB63-FC5CAE4DD650}"/>
            </c:ext>
          </c:extLst>
        </c:ser>
        <c:ser>
          <c:idx val="2"/>
          <c:order val="2"/>
          <c:tx>
            <c:strRef>
              <c:f>'Options Data'!$X$4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'Options Data'!$U$5:$U$10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'Options Data'!$X$5:$X$10</c:f>
              <c:numCache>
                <c:formatCode>0.00%</c:formatCode>
                <c:ptCount val="6"/>
                <c:pt idx="0">
                  <c:v>0.21920000000000001</c:v>
                </c:pt>
                <c:pt idx="1">
                  <c:v>0.22900000000000001</c:v>
                </c:pt>
                <c:pt idx="2">
                  <c:v>0.21890000000000001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C67-BB63-FC5CAE4DD65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3453664"/>
        <c:axId val="753458656"/>
        <c:axId val="762103392"/>
      </c:surface3DChart>
      <c:catAx>
        <c:axId val="7534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8656"/>
        <c:crosses val="autoZero"/>
        <c:auto val="1"/>
        <c:lblAlgn val="ctr"/>
        <c:lblOffset val="100"/>
        <c:noMultiLvlLbl val="0"/>
      </c:catAx>
      <c:valAx>
        <c:axId val="753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3664"/>
        <c:crosses val="autoZero"/>
        <c:crossBetween val="midCat"/>
      </c:valAx>
      <c:serAx>
        <c:axId val="762103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8656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Implied Volatility Surface (CRR Calls)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'CRR IV'!$O$25</c:f>
              <c:strCache>
                <c:ptCount val="1"/>
                <c:pt idx="0">
                  <c:v>0.02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IV'!$O$26:$O$31</c:f>
              <c:numCache>
                <c:formatCode>0.00%</c:formatCode>
                <c:ptCount val="6"/>
                <c:pt idx="0">
                  <c:v>0.187</c:v>
                </c:pt>
                <c:pt idx="1">
                  <c:v>0.214</c:v>
                </c:pt>
                <c:pt idx="2">
                  <c:v>0.192</c:v>
                </c:pt>
                <c:pt idx="3">
                  <c:v>0.16800000000000001</c:v>
                </c:pt>
                <c:pt idx="4">
                  <c:v>0.17050000000000001</c:v>
                </c:pt>
                <c:pt idx="5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6D9-BB55-DCC7F77F232A}"/>
            </c:ext>
          </c:extLst>
        </c:ser>
        <c:ser>
          <c:idx val="1"/>
          <c:order val="1"/>
          <c:tx>
            <c:strRef>
              <c:f>'CRR IV'!$P$25</c:f>
              <c:strCache>
                <c:ptCount val="1"/>
                <c:pt idx="0">
                  <c:v>0.04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IV'!$P$26:$P$31</c:f>
              <c:numCache>
                <c:formatCode>0.00%</c:formatCode>
                <c:ptCount val="6"/>
                <c:pt idx="0">
                  <c:v>0.20200000000000001</c:v>
                </c:pt>
                <c:pt idx="1">
                  <c:v>0.1908</c:v>
                </c:pt>
                <c:pt idx="2">
                  <c:v>0.1736</c:v>
                </c:pt>
                <c:pt idx="3">
                  <c:v>0.18790000000000001</c:v>
                </c:pt>
                <c:pt idx="4">
                  <c:v>0.17780000000000001</c:v>
                </c:pt>
                <c:pt idx="5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1-46D9-BB55-DCC7F77F232A}"/>
            </c:ext>
          </c:extLst>
        </c:ser>
        <c:ser>
          <c:idx val="2"/>
          <c:order val="2"/>
          <c:tx>
            <c:strRef>
              <c:f>'CRR IV'!$Q$25</c:f>
              <c:strCache>
                <c:ptCount val="1"/>
                <c:pt idx="0">
                  <c:v>0.06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'CRR IV'!$N$26:$N$31</c:f>
              <c:numCache>
                <c:formatCode>"$"#,##0.00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475</c:v>
                </c:pt>
                <c:pt idx="3">
                  <c:v>480</c:v>
                </c:pt>
                <c:pt idx="4">
                  <c:v>485</c:v>
                </c:pt>
                <c:pt idx="5">
                  <c:v>490</c:v>
                </c:pt>
              </c:numCache>
            </c:numRef>
          </c:cat>
          <c:val>
            <c:numRef>
              <c:f>'CRR IV'!$Q$26:$Q$31</c:f>
              <c:numCache>
                <c:formatCode>0.00%</c:formatCode>
                <c:ptCount val="6"/>
                <c:pt idx="0">
                  <c:v>0.21970000000000001</c:v>
                </c:pt>
                <c:pt idx="1">
                  <c:v>0.20530000000000001</c:v>
                </c:pt>
                <c:pt idx="2">
                  <c:v>0.20130000000000001</c:v>
                </c:pt>
                <c:pt idx="3">
                  <c:v>0.1958</c:v>
                </c:pt>
                <c:pt idx="4">
                  <c:v>0.1862</c:v>
                </c:pt>
                <c:pt idx="5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1-46D9-BB55-DCC7F77F232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13394528"/>
        <c:axId val="213394944"/>
        <c:axId val="223514800"/>
      </c:surface3DChart>
      <c:catAx>
        <c:axId val="2133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944"/>
        <c:crosses val="autoZero"/>
        <c:auto val="1"/>
        <c:lblAlgn val="ctr"/>
        <c:lblOffset val="100"/>
        <c:noMultiLvlLbl val="0"/>
      </c:catAx>
      <c:valAx>
        <c:axId val="2133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528"/>
        <c:crosses val="autoZero"/>
        <c:crossBetween val="midCat"/>
      </c:valAx>
      <c:serAx>
        <c:axId val="2235148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Expiry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94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244475</xdr:colOff>
      <xdr:row>11</xdr:row>
      <xdr:rowOff>57150</xdr:rowOff>
    </xdr:from>
    <xdr:to>
      <xdr:col>18</xdr:col>
      <xdr:colOff>549275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DA5B-65DC-4371-8DD9-59B0F3B84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212725</xdr:colOff>
      <xdr:row>11</xdr:row>
      <xdr:rowOff>63500</xdr:rowOff>
    </xdr:from>
    <xdr:to>
      <xdr:col>26</xdr:col>
      <xdr:colOff>517525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CF6B1-EB22-4D7D-A8A7-929C612C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32</xdr:row>
      <xdr:rowOff>165100</xdr:rowOff>
    </xdr:from>
    <xdr:to>
      <xdr:col>20</xdr:col>
      <xdr:colOff>301625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5D2EC-2A67-460E-9CEE-3809FE5B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32</xdr:row>
      <xdr:rowOff>158750</xdr:rowOff>
    </xdr:from>
    <xdr:to>
      <xdr:col>28</xdr:col>
      <xdr:colOff>130175</xdr:colOff>
      <xdr:row>47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F3CA0-2D74-4563-8DF0-D64F0DDB8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33</xdr:row>
      <xdr:rowOff>82550</xdr:rowOff>
    </xdr:from>
    <xdr:to>
      <xdr:col>13</xdr:col>
      <xdr:colOff>98425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C5354-FC6A-4828-9176-55129B4C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269875</xdr:colOff>
      <xdr:row>33</xdr:row>
      <xdr:rowOff>44450</xdr:rowOff>
    </xdr:from>
    <xdr:to>
      <xdr:col>20</xdr:col>
      <xdr:colOff>390525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F111A-635D-4C0B-98E5-BC7CB036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B83CC-45DE-400A-B55D-42DD5BEC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577850</xdr:colOff>
      <xdr:row>1</xdr:row>
      <xdr:rowOff>6350</xdr:rowOff>
    </xdr:from>
    <xdr:to>
      <xdr:col>27</xdr:col>
      <xdr:colOff>273050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04C40-3EC1-4969-828C-535EDEF55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6350</xdr:rowOff>
    </xdr:from>
    <xdr:to>
      <xdr:col>19</xdr:col>
      <xdr:colOff>304800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4E07-3DE2-4CED-B1F3-694430D2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584200</xdr:colOff>
      <xdr:row>16</xdr:row>
      <xdr:rowOff>0</xdr:rowOff>
    </xdr:from>
    <xdr:to>
      <xdr:col>27</xdr:col>
      <xdr:colOff>279400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E2E8E-F0D7-4C4D-A873-49F0D9A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31</xdr:row>
      <xdr:rowOff>38100</xdr:rowOff>
    </xdr:from>
    <xdr:to>
      <xdr:col>19</xdr:col>
      <xdr:colOff>304800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20971-03AB-4567-8F82-9496FFCF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577850</xdr:colOff>
      <xdr:row>31</xdr:row>
      <xdr:rowOff>0</xdr:rowOff>
    </xdr:from>
    <xdr:to>
      <xdr:col>27</xdr:col>
      <xdr:colOff>273050</xdr:colOff>
      <xdr:row>45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284A09-9725-4264-A4A7-DC2F203E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9A1C-E349-4FA4-882B-261FB8FBBE1B}">
  <sheetPr>
    <tabColor rgb="FFFF0000"/>
    <pageSetUpPr fitToPage="1"/>
  </sheetPr>
  <dimension ref="A1:O51"/>
  <sheetViews>
    <sheetView tabSelected="1" workbookViewId="0">
      <selection activeCell="F1" sqref="F1"/>
    </sheetView>
  </sheetViews>
  <sheetFormatPr defaultRowHeight="14.4"/>
  <sheetData>
    <row r="1" spans="1:10">
      <c r="A1" s="28" t="s">
        <v>180</v>
      </c>
      <c r="B1" s="28"/>
      <c r="C1" s="28"/>
    </row>
    <row r="2" spans="1:10">
      <c r="A2" s="28" t="s">
        <v>182</v>
      </c>
      <c r="B2" s="28"/>
      <c r="C2" s="28"/>
    </row>
    <row r="6" spans="1:10">
      <c r="A6" s="30" t="s">
        <v>181</v>
      </c>
      <c r="B6" s="30"/>
      <c r="C6" s="30"/>
      <c r="D6" s="30"/>
      <c r="E6" s="30"/>
      <c r="F6" s="30"/>
      <c r="G6" s="30"/>
    </row>
    <row r="7" spans="1:10">
      <c r="A7" s="29" t="s">
        <v>183</v>
      </c>
      <c r="B7" s="29"/>
      <c r="C7" s="29"/>
      <c r="D7" s="29"/>
      <c r="E7" s="29"/>
      <c r="F7" s="29"/>
      <c r="G7" s="29"/>
    </row>
    <row r="8" spans="1:10">
      <c r="A8" s="29" t="s">
        <v>184</v>
      </c>
      <c r="B8" s="29"/>
      <c r="C8" s="29"/>
      <c r="D8" s="29"/>
      <c r="E8" s="29"/>
      <c r="F8" s="29"/>
      <c r="G8" s="29"/>
    </row>
    <row r="9" spans="1:10">
      <c r="A9" s="29" t="s">
        <v>185</v>
      </c>
      <c r="B9" s="29"/>
      <c r="C9" s="29"/>
      <c r="D9" s="29"/>
      <c r="E9" s="29"/>
      <c r="F9" s="29"/>
      <c r="G9" s="29"/>
    </row>
    <row r="10" spans="1:10">
      <c r="A10" s="29" t="s">
        <v>186</v>
      </c>
      <c r="B10" s="29"/>
      <c r="C10" s="29"/>
      <c r="D10" s="29"/>
      <c r="E10" s="29"/>
      <c r="F10" s="29"/>
      <c r="G10" s="29"/>
    </row>
    <row r="11" spans="1:10">
      <c r="A11" s="29"/>
      <c r="B11" s="29"/>
      <c r="C11" s="29"/>
      <c r="D11" s="29"/>
      <c r="E11" s="29"/>
      <c r="F11" s="29"/>
      <c r="G11" s="29"/>
    </row>
    <row r="12" spans="1:10">
      <c r="A12" s="29" t="s">
        <v>187</v>
      </c>
      <c r="B12" s="29"/>
      <c r="C12" s="29"/>
      <c r="D12" s="29"/>
      <c r="E12" s="29"/>
      <c r="F12" s="29"/>
      <c r="G12" s="29"/>
    </row>
    <row r="13" spans="1:10">
      <c r="A13" s="29" t="s">
        <v>188</v>
      </c>
      <c r="B13" s="29"/>
      <c r="C13" s="29"/>
      <c r="D13" s="29"/>
      <c r="E13" s="29"/>
      <c r="F13" s="29"/>
      <c r="G13" s="29"/>
    </row>
    <row r="16" spans="1:10">
      <c r="A16" s="31" t="s">
        <v>189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5">
      <c r="A17" s="33" t="s">
        <v>190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5">
      <c r="A18" s="28" t="s">
        <v>227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5">
      <c r="A19" s="28" t="s">
        <v>225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5">
      <c r="A20" s="28" t="s">
        <v>224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5">
      <c r="A21" s="28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3" spans="1:15">
      <c r="A23" s="32" t="s">
        <v>191</v>
      </c>
      <c r="B23" s="32"/>
      <c r="C23" s="32"/>
      <c r="D23" s="32"/>
      <c r="E23" s="32"/>
      <c r="F23" s="32"/>
      <c r="G23" s="32"/>
      <c r="H23" s="32"/>
      <c r="I23" s="32"/>
      <c r="J23" s="32"/>
    </row>
    <row r="24" spans="1:15">
      <c r="A24" s="28" t="s">
        <v>193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>
      <c r="A25" s="28" t="s">
        <v>200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>
      <c r="A26" s="28" t="s">
        <v>226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>
      <c r="A27" s="28" t="s">
        <v>212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>
      <c r="A28" s="28" t="s">
        <v>194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>
      <c r="A29" s="28" t="s">
        <v>195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>
      <c r="A30" s="28" t="s">
        <v>201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>
      <c r="A31" s="28" t="s">
        <v>199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>
      <c r="A32" s="34" t="s">
        <v>223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>
      <c r="A33" s="28" t="s">
        <v>198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>
      <c r="A34" s="28" t="s">
        <v>221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6" spans="1:15">
      <c r="A36" s="36" t="s">
        <v>202</v>
      </c>
      <c r="B36" s="36"/>
      <c r="C36" s="36"/>
      <c r="D36" s="36"/>
      <c r="E36" s="36"/>
      <c r="F36" s="36"/>
      <c r="G36" s="36"/>
      <c r="H36" s="36"/>
      <c r="I36" s="36"/>
      <c r="J36" s="36"/>
    </row>
    <row r="37" spans="1:15">
      <c r="A37" s="28" t="s">
        <v>203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 t="s">
        <v>204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 t="s">
        <v>205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 t="s">
        <v>206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 t="s">
        <v>207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 t="s">
        <v>208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 t="s">
        <v>209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 t="s">
        <v>210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6" spans="1:15">
      <c r="A46" s="35" t="s">
        <v>211</v>
      </c>
      <c r="B46" s="35"/>
      <c r="C46" s="35"/>
      <c r="D46" s="35"/>
      <c r="E46" s="35"/>
      <c r="F46" s="35"/>
      <c r="G46" s="35"/>
      <c r="H46" s="35"/>
      <c r="I46" s="35"/>
      <c r="J46" s="35"/>
    </row>
    <row r="47" spans="1:15">
      <c r="A47" s="28" t="s">
        <v>213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 t="s">
        <v>214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 t="s">
        <v>217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 t="s">
        <v>215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28" t="s">
        <v>216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</sheetData>
  <mergeCells count="43">
    <mergeCell ref="A50:O50"/>
    <mergeCell ref="A51:O51"/>
    <mergeCell ref="A32:O32"/>
    <mergeCell ref="A43:O43"/>
    <mergeCell ref="A44:O44"/>
    <mergeCell ref="A46:J46"/>
    <mergeCell ref="A47:O47"/>
    <mergeCell ref="A48:O48"/>
    <mergeCell ref="A49:O49"/>
    <mergeCell ref="A37:O37"/>
    <mergeCell ref="A38:O38"/>
    <mergeCell ref="A39:O39"/>
    <mergeCell ref="A40:O40"/>
    <mergeCell ref="A41:O41"/>
    <mergeCell ref="A42:O42"/>
    <mergeCell ref="A36:J36"/>
    <mergeCell ref="A29:O29"/>
    <mergeCell ref="A31:O31"/>
    <mergeCell ref="A33:O33"/>
    <mergeCell ref="A34:O34"/>
    <mergeCell ref="A30:O30"/>
    <mergeCell ref="A28:O28"/>
    <mergeCell ref="A16:J16"/>
    <mergeCell ref="A23:J23"/>
    <mergeCell ref="A17:N17"/>
    <mergeCell ref="A18:N18"/>
    <mergeCell ref="A19:N19"/>
    <mergeCell ref="A20:N20"/>
    <mergeCell ref="A21:N21"/>
    <mergeCell ref="A24:O24"/>
    <mergeCell ref="A25:O25"/>
    <mergeCell ref="A26:O26"/>
    <mergeCell ref="A27:O27"/>
    <mergeCell ref="A1:C1"/>
    <mergeCell ref="A2:C2"/>
    <mergeCell ref="A12:G12"/>
    <mergeCell ref="A13:G13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  <pageSetup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C601-B2D9-43A6-99D4-F5B77D9D4F76}">
  <sheetPr>
    <tabColor rgb="FF7030A0"/>
    <pageSetUpPr fitToPage="1"/>
  </sheetPr>
  <dimension ref="A1:N24"/>
  <sheetViews>
    <sheetView workbookViewId="0">
      <selection activeCell="L15" sqref="L15"/>
    </sheetView>
  </sheetViews>
  <sheetFormatPr defaultRowHeight="14.4"/>
  <sheetData>
    <row r="1" spans="1:14">
      <c r="A1" t="s">
        <v>168</v>
      </c>
    </row>
    <row r="2" spans="1:14">
      <c r="A2" t="s">
        <v>5</v>
      </c>
      <c r="B2" t="s">
        <v>6</v>
      </c>
      <c r="C2" t="s">
        <v>157</v>
      </c>
      <c r="D2" t="s">
        <v>8</v>
      </c>
      <c r="E2" t="s">
        <v>150</v>
      </c>
    </row>
    <row r="3" spans="1:14">
      <c r="A3" s="18">
        <v>460</v>
      </c>
      <c r="B3" s="19">
        <v>26.94</v>
      </c>
      <c r="C3" s="19">
        <v>26.75</v>
      </c>
      <c r="D3" s="19">
        <v>28.55</v>
      </c>
      <c r="E3" s="19">
        <f xml:space="preserve"> (C3+D3)/2</f>
        <v>27.65</v>
      </c>
    </row>
    <row r="4" spans="1:14">
      <c r="A4" s="18">
        <v>470</v>
      </c>
      <c r="B4" s="19">
        <v>20.8</v>
      </c>
      <c r="C4" s="19">
        <v>20</v>
      </c>
      <c r="D4" s="19">
        <v>21.75</v>
      </c>
      <c r="E4" s="19">
        <f t="shared" ref="E4:E7" si="0" xml:space="preserve"> (C4+D4)/2</f>
        <v>20.875</v>
      </c>
    </row>
    <row r="5" spans="1:14">
      <c r="A5" s="18">
        <v>480</v>
      </c>
      <c r="B5" s="19">
        <v>14.7</v>
      </c>
      <c r="C5" s="19">
        <v>14.5</v>
      </c>
      <c r="D5" s="19">
        <v>15.15</v>
      </c>
      <c r="E5" s="19">
        <f t="shared" si="0"/>
        <v>14.824999999999999</v>
      </c>
    </row>
    <row r="6" spans="1:14">
      <c r="A6" s="18">
        <v>490</v>
      </c>
      <c r="B6" s="19">
        <v>9.65</v>
      </c>
      <c r="C6" s="19">
        <v>9.6999999999999993</v>
      </c>
      <c r="D6" s="19">
        <v>10.4</v>
      </c>
      <c r="E6" s="19">
        <f t="shared" si="0"/>
        <v>10.050000000000001</v>
      </c>
    </row>
    <row r="7" spans="1:14">
      <c r="A7" s="18">
        <v>500</v>
      </c>
      <c r="B7" s="19">
        <v>6.17</v>
      </c>
      <c r="C7" s="19">
        <v>6.1</v>
      </c>
      <c r="D7" s="19">
        <v>7.1</v>
      </c>
      <c r="E7" s="19">
        <f t="shared" si="0"/>
        <v>6.6</v>
      </c>
    </row>
    <row r="9" spans="1:14">
      <c r="N9" t="s">
        <v>172</v>
      </c>
    </row>
    <row r="10" spans="1:14">
      <c r="A10" t="s">
        <v>170</v>
      </c>
      <c r="G10" t="s">
        <v>169</v>
      </c>
      <c r="K10" t="s">
        <v>171</v>
      </c>
      <c r="N10" t="s">
        <v>173</v>
      </c>
    </row>
    <row r="11" spans="1:14">
      <c r="A11" t="s">
        <v>5</v>
      </c>
      <c r="B11" t="s">
        <v>6</v>
      </c>
      <c r="C11" t="s">
        <v>157</v>
      </c>
      <c r="D11" t="s">
        <v>8</v>
      </c>
      <c r="E11" t="s">
        <v>150</v>
      </c>
      <c r="G11" t="s">
        <v>5</v>
      </c>
      <c r="H11" t="s">
        <v>55</v>
      </c>
      <c r="K11" t="s">
        <v>5</v>
      </c>
      <c r="L11" t="s">
        <v>55</v>
      </c>
    </row>
    <row r="12" spans="1:14">
      <c r="A12" s="18">
        <v>460</v>
      </c>
      <c r="B12" s="19">
        <v>8.43</v>
      </c>
      <c r="C12" s="19">
        <v>8.1999999999999993</v>
      </c>
      <c r="D12" s="19">
        <v>8.6</v>
      </c>
      <c r="E12" s="19">
        <f xml:space="preserve"> (C12+D12)/2</f>
        <v>8.3999999999999986</v>
      </c>
      <c r="G12" s="18">
        <v>460</v>
      </c>
      <c r="H12" s="19">
        <v>6.98</v>
      </c>
      <c r="I12" s="27"/>
      <c r="J12" s="27"/>
      <c r="K12" s="18">
        <v>460</v>
      </c>
      <c r="L12" s="19">
        <f>E3 - 478.23 + K12/'Implied Tree'!$B$19</f>
        <v>7.0377285568872026</v>
      </c>
    </row>
    <row r="13" spans="1:14">
      <c r="A13" s="18">
        <v>470</v>
      </c>
      <c r="B13" s="19">
        <v>11.83</v>
      </c>
      <c r="C13" s="19">
        <v>11.4</v>
      </c>
      <c r="D13" s="19">
        <v>11.95</v>
      </c>
      <c r="E13" s="19">
        <f t="shared" ref="E13:E16" si="1" xml:space="preserve"> (C13+D13)/2</f>
        <v>11.675000000000001</v>
      </c>
      <c r="G13" s="18">
        <v>470</v>
      </c>
      <c r="H13" s="19">
        <v>10.38</v>
      </c>
      <c r="I13" s="27"/>
      <c r="J13" s="27"/>
      <c r="K13" s="18">
        <v>470</v>
      </c>
      <c r="L13" s="19">
        <f>E4 - 478.23 + K13/'Implied Tree'!$B$19</f>
        <v>10.210940047254326</v>
      </c>
    </row>
    <row r="14" spans="1:14">
      <c r="A14" s="18">
        <v>480</v>
      </c>
      <c r="B14" s="19">
        <v>16.11</v>
      </c>
      <c r="C14" s="19">
        <v>15.6</v>
      </c>
      <c r="D14" s="19">
        <v>16.45</v>
      </c>
      <c r="E14" s="19">
        <f t="shared" si="1"/>
        <v>16.024999999999999</v>
      </c>
      <c r="G14" s="18">
        <v>480</v>
      </c>
      <c r="H14" s="19">
        <v>14.62</v>
      </c>
      <c r="I14" s="27"/>
      <c r="J14" s="27"/>
      <c r="K14" s="18">
        <v>480</v>
      </c>
      <c r="L14" s="19">
        <f>E5 - 478.23 + K14/'Implied Tree'!$B$19</f>
        <v>14.109151537621472</v>
      </c>
    </row>
    <row r="15" spans="1:14">
      <c r="A15" s="18">
        <v>490</v>
      </c>
      <c r="B15" s="19">
        <v>23.31</v>
      </c>
      <c r="C15" s="19">
        <v>20.55</v>
      </c>
      <c r="D15" s="19">
        <v>21.85</v>
      </c>
      <c r="E15" s="19">
        <f t="shared" si="1"/>
        <v>21.200000000000003</v>
      </c>
      <c r="G15" s="18">
        <v>490</v>
      </c>
      <c r="H15" s="19">
        <v>20.25</v>
      </c>
      <c r="I15" s="27"/>
      <c r="J15" s="27"/>
      <c r="K15" s="18">
        <v>490</v>
      </c>
      <c r="L15" s="19">
        <f>E6 - 478.23 + K15/'Implied Tree'!$B$19</f>
        <v>19.282363027988595</v>
      </c>
    </row>
    <row r="16" spans="1:14">
      <c r="A16" s="18">
        <v>500</v>
      </c>
      <c r="B16" s="19">
        <v>28.39</v>
      </c>
      <c r="C16" s="19">
        <v>26.9</v>
      </c>
      <c r="D16" s="19">
        <v>28.75</v>
      </c>
      <c r="E16" s="19">
        <f t="shared" si="1"/>
        <v>27.824999999999999</v>
      </c>
      <c r="G16" s="18">
        <v>500</v>
      </c>
      <c r="H16" s="19">
        <v>26.73</v>
      </c>
      <c r="I16" s="27"/>
      <c r="J16" s="27"/>
      <c r="K16" s="18">
        <v>500</v>
      </c>
      <c r="L16" s="19">
        <f>E7 - 478.23 + K16/'Implied Tree'!$B$19</f>
        <v>25.780574518355706</v>
      </c>
    </row>
    <row r="18" spans="1:12">
      <c r="A18" t="s">
        <v>174</v>
      </c>
      <c r="G18" t="s">
        <v>178</v>
      </c>
      <c r="K18" t="s">
        <v>179</v>
      </c>
    </row>
    <row r="19" spans="1:12">
      <c r="A19" t="s">
        <v>5</v>
      </c>
      <c r="B19" t="s">
        <v>175</v>
      </c>
      <c r="C19" t="s">
        <v>176</v>
      </c>
      <c r="D19" t="s">
        <v>177</v>
      </c>
      <c r="G19" t="s">
        <v>5</v>
      </c>
      <c r="H19" t="s">
        <v>176</v>
      </c>
      <c r="I19" t="s">
        <v>177</v>
      </c>
      <c r="K19" t="s">
        <v>5</v>
      </c>
      <c r="L19" t="s">
        <v>177</v>
      </c>
    </row>
    <row r="20" spans="1:12">
      <c r="A20" s="18">
        <v>460</v>
      </c>
      <c r="B20" s="19">
        <v>8.3999999999999986</v>
      </c>
      <c r="C20" s="19">
        <v>6.98</v>
      </c>
      <c r="D20" s="19">
        <v>7.0377285568872026</v>
      </c>
      <c r="G20" s="18">
        <v>460</v>
      </c>
      <c r="H20" s="26">
        <f xml:space="preserve"> (C20-B20) / B20</f>
        <v>-0.16904761904761886</v>
      </c>
      <c r="I20" s="26">
        <f xml:space="preserve"> (D20-B20)/B20</f>
        <v>-0.1621751717991424</v>
      </c>
      <c r="K20" s="18">
        <v>460</v>
      </c>
      <c r="L20" s="26">
        <f>(D20 - C20)/C20</f>
        <v>8.2705668892839729E-3</v>
      </c>
    </row>
    <row r="21" spans="1:12">
      <c r="A21" s="18">
        <v>470</v>
      </c>
      <c r="B21" s="19">
        <v>11.675000000000001</v>
      </c>
      <c r="C21" s="19">
        <v>10.38</v>
      </c>
      <c r="D21" s="19">
        <v>10.210940047254326</v>
      </c>
      <c r="G21" s="18">
        <v>470</v>
      </c>
      <c r="H21" s="26">
        <f xml:space="preserve"> (C21-B21) / B21</f>
        <v>-0.11092077087794432</v>
      </c>
      <c r="I21" s="26">
        <f xml:space="preserve"> (D21-B21)/B21</f>
        <v>-0.12540128074909421</v>
      </c>
      <c r="K21" s="18">
        <v>470</v>
      </c>
      <c r="L21" s="26">
        <f t="shared" ref="L21:L24" si="2">(D21 - C21)/C21</f>
        <v>-1.628708600632708E-2</v>
      </c>
    </row>
    <row r="22" spans="1:12">
      <c r="A22" s="18">
        <v>480</v>
      </c>
      <c r="B22" s="19">
        <v>16.024999999999999</v>
      </c>
      <c r="C22" s="19">
        <v>14.62</v>
      </c>
      <c r="D22" s="19">
        <v>14.109151537621472</v>
      </c>
      <c r="G22" s="18">
        <v>480</v>
      </c>
      <c r="H22" s="26">
        <f xml:space="preserve"> (C22-B22) / B22</f>
        <v>-8.7675507020280777E-2</v>
      </c>
      <c r="I22" s="26">
        <f xml:space="preserve"> (D22-B22)/B22</f>
        <v>-0.11955372620146816</v>
      </c>
      <c r="K22" s="18">
        <v>480</v>
      </c>
      <c r="L22" s="26">
        <f t="shared" si="2"/>
        <v>-3.4941755292648952E-2</v>
      </c>
    </row>
    <row r="23" spans="1:12">
      <c r="A23" s="18">
        <v>490</v>
      </c>
      <c r="B23" s="19">
        <v>21.200000000000003</v>
      </c>
      <c r="C23" s="19">
        <v>20.25</v>
      </c>
      <c r="D23" s="19">
        <v>19.282363027988595</v>
      </c>
      <c r="G23" s="18">
        <v>490</v>
      </c>
      <c r="H23" s="26">
        <f xml:space="preserve"> (C23-B23) / B23</f>
        <v>-4.481132075471711E-2</v>
      </c>
      <c r="I23" s="26">
        <f xml:space="preserve"> (D23-B23)/B23</f>
        <v>-9.0454574151481504E-2</v>
      </c>
      <c r="K23" s="18">
        <v>490</v>
      </c>
      <c r="L23" s="26">
        <f t="shared" si="2"/>
        <v>-4.7784541827723716E-2</v>
      </c>
    </row>
    <row r="24" spans="1:12">
      <c r="A24" s="18">
        <v>500</v>
      </c>
      <c r="B24" s="19">
        <v>27.824999999999999</v>
      </c>
      <c r="C24" s="19">
        <v>26.73</v>
      </c>
      <c r="D24" s="19">
        <v>25.780574518355706</v>
      </c>
      <c r="G24" s="18">
        <v>500</v>
      </c>
      <c r="H24" s="26">
        <f xml:space="preserve"> (C24-B24) / B24</f>
        <v>-3.9353099730458183E-2</v>
      </c>
      <c r="I24" s="26">
        <f xml:space="preserve"> (D24-B24)/B24</f>
        <v>-7.3474410840765239E-2</v>
      </c>
      <c r="K24" s="18">
        <v>500</v>
      </c>
      <c r="L24" s="26">
        <f t="shared" si="2"/>
        <v>-3.5519097704612569E-2</v>
      </c>
    </row>
  </sheetData>
  <conditionalFormatting sqref="I12:J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20:I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20:L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1383-9689-4C42-B7FA-95F58C488C14}">
  <sheetPr>
    <tabColor rgb="FF002060"/>
    <pageSetUpPr fitToPage="1"/>
  </sheetPr>
  <dimension ref="A1:K79"/>
  <sheetViews>
    <sheetView workbookViewId="0">
      <selection activeCell="B7" sqref="B7"/>
    </sheetView>
  </sheetViews>
  <sheetFormatPr defaultRowHeight="14.4"/>
  <cols>
    <col min="1" max="1" width="19.88671875" bestFit="1" customWidth="1"/>
    <col min="2" max="2" width="24.77734375" bestFit="1" customWidth="1"/>
    <col min="11" max="11" width="14.77734375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s="1" t="s">
        <v>219</v>
      </c>
      <c r="B3" s="2"/>
    </row>
    <row r="4" spans="1:11">
      <c r="A4" t="s">
        <v>2</v>
      </c>
      <c r="B4">
        <v>478.23</v>
      </c>
    </row>
    <row r="5" spans="1:11">
      <c r="A5" t="s">
        <v>14</v>
      </c>
      <c r="B5" s="16">
        <f>B4*B6</f>
        <v>5.9300519999999999</v>
      </c>
    </row>
    <row r="6" spans="1:11">
      <c r="A6" t="s">
        <v>15</v>
      </c>
      <c r="B6" s="15">
        <v>1.24E-2</v>
      </c>
    </row>
    <row r="8" spans="1:11">
      <c r="A8" t="s">
        <v>114</v>
      </c>
      <c r="B8" s="1"/>
    </row>
    <row r="9" spans="1:11">
      <c r="A9" t="s">
        <v>115</v>
      </c>
      <c r="B9" s="1" t="s">
        <v>218</v>
      </c>
    </row>
    <row r="10" spans="1:11">
      <c r="A10">
        <v>4</v>
      </c>
      <c r="B10">
        <v>0.04</v>
      </c>
    </row>
    <row r="11" spans="1:11">
      <c r="A11">
        <v>8</v>
      </c>
      <c r="B11">
        <v>0.05</v>
      </c>
    </row>
    <row r="12" spans="1:11">
      <c r="A12">
        <v>13</v>
      </c>
      <c r="B12">
        <v>7.0000000000000007E-2</v>
      </c>
      <c r="H12" s="3"/>
      <c r="K12" s="3"/>
    </row>
    <row r="13" spans="1:11">
      <c r="A13">
        <v>26</v>
      </c>
      <c r="B13">
        <v>0.13</v>
      </c>
      <c r="H13" s="3"/>
      <c r="K13" s="3"/>
    </row>
    <row r="14" spans="1:11">
      <c r="A14">
        <v>52</v>
      </c>
      <c r="B14">
        <v>0.28000000000000003</v>
      </c>
      <c r="H14" s="3"/>
      <c r="K14" s="3"/>
    </row>
    <row r="15" spans="1:11">
      <c r="A15" t="s">
        <v>116</v>
      </c>
      <c r="H15" s="3"/>
      <c r="K15" s="3"/>
    </row>
    <row r="16" spans="1:11">
      <c r="A16">
        <v>1</v>
      </c>
      <c r="B16">
        <f>($B$10/4) * A16</f>
        <v>0.01</v>
      </c>
      <c r="H16" s="3"/>
      <c r="K16" s="3"/>
    </row>
    <row r="17" spans="1:11">
      <c r="A17">
        <v>2</v>
      </c>
      <c r="B17">
        <f t="shared" ref="B17:B18" si="0">($B$10/4) * A17</f>
        <v>0.02</v>
      </c>
      <c r="H17" s="3"/>
      <c r="K17" s="3"/>
    </row>
    <row r="18" spans="1:11">
      <c r="A18">
        <v>3</v>
      </c>
      <c r="B18">
        <f t="shared" si="0"/>
        <v>0.03</v>
      </c>
      <c r="H18" s="3"/>
      <c r="K18" s="3"/>
    </row>
    <row r="19" spans="1:11">
      <c r="A19">
        <v>6</v>
      </c>
      <c r="B19">
        <f>0.045</f>
        <v>4.4999999999999998E-2</v>
      </c>
      <c r="H19" s="3"/>
      <c r="K19" s="3"/>
    </row>
    <row r="20" spans="1:11">
      <c r="H20" s="3"/>
      <c r="K20" s="3"/>
    </row>
    <row r="21" spans="1:11">
      <c r="H21" s="3"/>
      <c r="K21" s="3"/>
    </row>
    <row r="22" spans="1:11">
      <c r="H22" s="3"/>
      <c r="K22" s="3"/>
    </row>
    <row r="23" spans="1:11">
      <c r="K23" s="3"/>
    </row>
    <row r="24" spans="1:11">
      <c r="K24" s="3"/>
    </row>
    <row r="27" spans="1:11">
      <c r="H27" s="3"/>
      <c r="K27" s="3"/>
    </row>
    <row r="28" spans="1:11">
      <c r="H28" s="3"/>
      <c r="K28" s="3"/>
    </row>
    <row r="29" spans="1:11">
      <c r="H29" s="3"/>
      <c r="K29" s="3"/>
    </row>
    <row r="30" spans="1:11">
      <c r="H30" s="3"/>
      <c r="K30" s="3"/>
    </row>
    <row r="31" spans="1:11">
      <c r="H31" s="3"/>
      <c r="K31" s="3"/>
    </row>
    <row r="32" spans="1:11">
      <c r="H32" s="3"/>
      <c r="K32" s="3"/>
    </row>
    <row r="33" spans="2:11">
      <c r="H33" s="3"/>
      <c r="K33" s="3"/>
    </row>
    <row r="34" spans="2:11">
      <c r="B34" s="1"/>
      <c r="H34" s="3"/>
      <c r="K34" s="3"/>
    </row>
    <row r="35" spans="2:11">
      <c r="B35" s="1"/>
      <c r="H35" s="3"/>
      <c r="K35" s="3"/>
    </row>
    <row r="36" spans="2:11">
      <c r="H36" s="3"/>
      <c r="K36" s="3"/>
    </row>
    <row r="37" spans="2:11">
      <c r="H37" s="3"/>
      <c r="K37" s="3"/>
    </row>
    <row r="38" spans="2:11">
      <c r="H38" s="3"/>
      <c r="J38" s="4"/>
      <c r="K38" s="3"/>
    </row>
    <row r="39" spans="2:11">
      <c r="H39" s="3"/>
      <c r="K39" s="3"/>
    </row>
    <row r="40" spans="2:11">
      <c r="H40" s="3"/>
      <c r="K40" s="3"/>
    </row>
    <row r="41" spans="2:11">
      <c r="H41" s="3"/>
      <c r="K41" s="3"/>
    </row>
    <row r="42" spans="2:11">
      <c r="H42" s="3"/>
      <c r="J42" s="4"/>
      <c r="K42" s="3"/>
    </row>
    <row r="43" spans="2:11">
      <c r="H43" s="3"/>
      <c r="K43" s="3"/>
    </row>
    <row r="44" spans="2:11">
      <c r="H44" s="3"/>
      <c r="J44" s="4"/>
      <c r="K44" s="3"/>
    </row>
    <row r="45" spans="2:11">
      <c r="H45" s="3"/>
      <c r="K45" s="3"/>
    </row>
    <row r="46" spans="2:11">
      <c r="H46" s="3"/>
      <c r="J46" s="4"/>
      <c r="K46" s="3"/>
    </row>
    <row r="47" spans="2:11">
      <c r="H47" s="3"/>
      <c r="J47" s="4"/>
      <c r="K47" s="3"/>
    </row>
    <row r="50" spans="2:11">
      <c r="H50" s="3"/>
      <c r="K50" s="3"/>
    </row>
    <row r="51" spans="2:11">
      <c r="H51" s="3"/>
      <c r="K51" s="3"/>
    </row>
    <row r="52" spans="2:11">
      <c r="H52" s="3"/>
      <c r="J52" s="4"/>
      <c r="K52" s="3"/>
    </row>
    <row r="53" spans="2:11">
      <c r="H53" s="3"/>
      <c r="K53" s="3"/>
    </row>
    <row r="54" spans="2:11">
      <c r="H54" s="3"/>
      <c r="K54" s="3"/>
    </row>
    <row r="55" spans="2:11">
      <c r="H55" s="3"/>
      <c r="K55" s="3"/>
    </row>
    <row r="56" spans="2:11">
      <c r="H56" s="3"/>
      <c r="K56" s="3"/>
    </row>
    <row r="57" spans="2:11">
      <c r="K57" s="3"/>
    </row>
    <row r="58" spans="2:11">
      <c r="K58" s="3"/>
    </row>
    <row r="59" spans="2:11">
      <c r="K59" s="3"/>
    </row>
    <row r="61" spans="2:11">
      <c r="B61" s="1"/>
    </row>
    <row r="63" spans="2:11">
      <c r="K63" s="3"/>
    </row>
    <row r="64" spans="2:11">
      <c r="H64" s="3"/>
      <c r="K64" s="3"/>
    </row>
    <row r="65" spans="8:11">
      <c r="H65" s="3"/>
      <c r="K65" s="3"/>
    </row>
    <row r="66" spans="8:11">
      <c r="H66" s="3"/>
      <c r="K66" s="3"/>
    </row>
    <row r="67" spans="8:11">
      <c r="H67" s="3"/>
      <c r="K67" s="3"/>
    </row>
    <row r="68" spans="8:11">
      <c r="H68" s="3"/>
      <c r="K68" s="3"/>
    </row>
    <row r="69" spans="8:11">
      <c r="H69" s="3"/>
      <c r="K69" s="3"/>
    </row>
    <row r="70" spans="8:11">
      <c r="H70" s="3"/>
      <c r="K70" s="3"/>
    </row>
    <row r="71" spans="8:11">
      <c r="H71" s="3"/>
      <c r="K71" s="3"/>
    </row>
    <row r="72" spans="8:11">
      <c r="K72" s="3"/>
    </row>
    <row r="75" spans="8:11">
      <c r="H75" s="3"/>
      <c r="K75" s="3"/>
    </row>
    <row r="76" spans="8:11">
      <c r="K76" s="3"/>
    </row>
    <row r="77" spans="8:11">
      <c r="H77" s="3"/>
      <c r="K77" s="3"/>
    </row>
    <row r="78" spans="8:11">
      <c r="H78" s="3"/>
      <c r="K78" s="3"/>
    </row>
    <row r="79" spans="8:11">
      <c r="K79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8DD9-8647-40DF-823A-2C704FFDB4E3}">
  <sheetPr>
    <tabColor rgb="FF002060"/>
    <pageSetUpPr fitToPage="1"/>
  </sheetPr>
  <dimension ref="A1:X56"/>
  <sheetViews>
    <sheetView topLeftCell="H1" workbookViewId="0">
      <selection activeCell="K27" sqref="K27"/>
    </sheetView>
  </sheetViews>
  <sheetFormatPr defaultRowHeight="14.4"/>
  <cols>
    <col min="1" max="1" width="19.88671875" bestFit="1" customWidth="1"/>
    <col min="2" max="2" width="21.6640625" bestFit="1" customWidth="1"/>
    <col min="10" max="10" width="12.21875" bestFit="1" customWidth="1"/>
    <col min="11" max="11" width="14.77734375" bestFit="1" customWidth="1"/>
  </cols>
  <sheetData>
    <row r="1" spans="1:2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24">
      <c r="N2" s="37" t="s">
        <v>13</v>
      </c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>
      <c r="A3" t="s">
        <v>61</v>
      </c>
      <c r="B3" s="1">
        <v>44547</v>
      </c>
      <c r="N3" t="s">
        <v>64</v>
      </c>
      <c r="U3" t="s">
        <v>71</v>
      </c>
    </row>
    <row r="4" spans="1:24">
      <c r="A4" t="s">
        <v>64</v>
      </c>
      <c r="O4" s="16">
        <v>1.9230769230769232E-2</v>
      </c>
      <c r="P4" s="16">
        <f>2/52</f>
        <v>3.8461538461538464E-2</v>
      </c>
      <c r="Q4" s="16">
        <f>3/52</f>
        <v>5.7692307692307696E-2</v>
      </c>
      <c r="V4">
        <v>0.02</v>
      </c>
      <c r="W4">
        <v>0.04</v>
      </c>
      <c r="X4">
        <v>0.06</v>
      </c>
    </row>
    <row r="5" spans="1:24">
      <c r="A5" t="s">
        <v>17</v>
      </c>
      <c r="B5" t="s">
        <v>65</v>
      </c>
      <c r="C5">
        <v>465</v>
      </c>
      <c r="D5">
        <v>14.23</v>
      </c>
      <c r="E5">
        <v>13.6</v>
      </c>
      <c r="F5">
        <v>14.65</v>
      </c>
      <c r="G5">
        <v>3.23</v>
      </c>
      <c r="H5" s="3">
        <v>0.29360000000000003</v>
      </c>
      <c r="I5">
        <v>45</v>
      </c>
      <c r="J5">
        <v>303</v>
      </c>
      <c r="K5" s="3">
        <v>0.1986</v>
      </c>
      <c r="N5">
        <v>465</v>
      </c>
      <c r="O5" s="3">
        <f>VLOOKUP(N5, C5:K12, 9, FALSE)</f>
        <v>0.1986</v>
      </c>
      <c r="P5" s="3">
        <f>VLOOKUP(N5, C25:K33, 9, FALSE)</f>
        <v>0.2208</v>
      </c>
      <c r="Q5" s="3">
        <f>VLOOKUP(N5, C45:K51, 9, FALSE)</f>
        <v>0.23469999999999999</v>
      </c>
      <c r="U5">
        <v>465</v>
      </c>
      <c r="V5" s="3">
        <f>K15</f>
        <v>0.22109999999999999</v>
      </c>
      <c r="W5" s="3">
        <f>K36</f>
        <v>0.26229999999999998</v>
      </c>
      <c r="X5" s="3">
        <f>K54</f>
        <v>0.21920000000000001</v>
      </c>
    </row>
    <row r="6" spans="1:24">
      <c r="A6" t="s">
        <v>18</v>
      </c>
      <c r="B6" t="s">
        <v>66</v>
      </c>
      <c r="C6">
        <v>467.5</v>
      </c>
      <c r="D6">
        <v>12.16</v>
      </c>
      <c r="E6">
        <v>11.8</v>
      </c>
      <c r="F6">
        <v>12.6</v>
      </c>
      <c r="G6">
        <v>2.31</v>
      </c>
      <c r="H6" s="3">
        <v>0.23449999999999999</v>
      </c>
      <c r="I6">
        <v>13</v>
      </c>
      <c r="J6">
        <v>148</v>
      </c>
      <c r="K6" s="3">
        <v>0.1968</v>
      </c>
      <c r="N6">
        <v>470</v>
      </c>
      <c r="O6" s="3">
        <f t="shared" ref="O6:O9" si="0">VLOOKUP(N6, C6:K13, 9, FALSE)</f>
        <v>0.24379999999999999</v>
      </c>
      <c r="P6" s="3">
        <f t="shared" ref="P6:P9" si="1">VLOOKUP(N6, C26:K34, 9, FALSE)</f>
        <v>0.20979999999999999</v>
      </c>
      <c r="Q6" s="3">
        <f t="shared" ref="Q6:Q10" si="2">VLOOKUP(N6, C46:K52, 9, FALSE)</f>
        <v>0.22850000000000001</v>
      </c>
      <c r="U6">
        <v>470</v>
      </c>
      <c r="V6" s="3">
        <f>K17</f>
        <v>0.2223</v>
      </c>
      <c r="W6" s="3">
        <f>K38</f>
        <v>0.2296</v>
      </c>
      <c r="X6" s="3">
        <f t="shared" ref="X6:X7" si="3">K55</f>
        <v>0.22900000000000001</v>
      </c>
    </row>
    <row r="7" spans="1:24">
      <c r="A7" t="s">
        <v>19</v>
      </c>
      <c r="B7" t="s">
        <v>66</v>
      </c>
      <c r="C7">
        <v>470</v>
      </c>
      <c r="D7">
        <v>10.44</v>
      </c>
      <c r="E7">
        <v>9.35</v>
      </c>
      <c r="F7">
        <v>11.85</v>
      </c>
      <c r="G7">
        <v>2.06</v>
      </c>
      <c r="H7" s="3">
        <v>0.24579999999999999</v>
      </c>
      <c r="I7">
        <v>103</v>
      </c>
      <c r="J7" s="4">
        <v>2845</v>
      </c>
      <c r="K7" s="3">
        <v>0.24379999999999999</v>
      </c>
      <c r="N7">
        <v>475</v>
      </c>
      <c r="O7" s="3">
        <f t="shared" si="0"/>
        <v>0.21079999999999999</v>
      </c>
      <c r="P7" s="3">
        <f t="shared" si="1"/>
        <v>0.1772</v>
      </c>
      <c r="Q7" s="3">
        <f t="shared" si="2"/>
        <v>0.2195</v>
      </c>
      <c r="U7">
        <v>475</v>
      </c>
      <c r="V7" s="3">
        <f>K18</f>
        <v>0.311</v>
      </c>
      <c r="W7" s="3"/>
      <c r="X7" s="3">
        <f t="shared" si="3"/>
        <v>0.21890000000000001</v>
      </c>
    </row>
    <row r="8" spans="1:24">
      <c r="A8" t="s">
        <v>20</v>
      </c>
      <c r="B8" t="s">
        <v>66</v>
      </c>
      <c r="C8">
        <v>475</v>
      </c>
      <c r="D8">
        <v>7.06</v>
      </c>
      <c r="E8">
        <v>6.1</v>
      </c>
      <c r="F8">
        <v>7.8</v>
      </c>
      <c r="G8">
        <v>1.43</v>
      </c>
      <c r="H8" s="3">
        <v>0.254</v>
      </c>
      <c r="I8">
        <v>694</v>
      </c>
      <c r="J8">
        <v>587</v>
      </c>
      <c r="K8" s="3">
        <v>0.21079999999999999</v>
      </c>
      <c r="N8">
        <v>480</v>
      </c>
      <c r="O8" s="3">
        <f t="shared" si="0"/>
        <v>0.16420000000000001</v>
      </c>
      <c r="P8" s="3">
        <f t="shared" si="1"/>
        <v>0.20599999999999999</v>
      </c>
      <c r="Q8" s="3">
        <f t="shared" si="2"/>
        <v>0.2145</v>
      </c>
      <c r="U8">
        <v>480</v>
      </c>
      <c r="V8" s="3">
        <f>K19</f>
        <v>0.20230000000000001</v>
      </c>
    </row>
    <row r="9" spans="1:24">
      <c r="A9" t="s">
        <v>21</v>
      </c>
      <c r="B9" t="s">
        <v>67</v>
      </c>
      <c r="C9">
        <v>480</v>
      </c>
      <c r="D9">
        <v>3.85</v>
      </c>
      <c r="E9">
        <v>3.45</v>
      </c>
      <c r="F9">
        <v>3.9</v>
      </c>
      <c r="G9">
        <v>0.7</v>
      </c>
      <c r="H9" s="3">
        <v>0.22220000000000001</v>
      </c>
      <c r="I9">
        <v>87</v>
      </c>
      <c r="J9" s="4">
        <v>1971</v>
      </c>
      <c r="K9" s="3">
        <v>0.16420000000000001</v>
      </c>
      <c r="N9">
        <v>485</v>
      </c>
      <c r="O9" s="3">
        <f t="shared" si="0"/>
        <v>0.16420000000000001</v>
      </c>
      <c r="P9" s="3">
        <f t="shared" si="1"/>
        <v>0.19750000000000001</v>
      </c>
      <c r="Q9" s="3">
        <f t="shared" si="2"/>
        <v>0.2009</v>
      </c>
      <c r="U9">
        <v>485</v>
      </c>
      <c r="W9" s="3">
        <f>K40</f>
        <v>0.1981</v>
      </c>
    </row>
    <row r="10" spans="1:24">
      <c r="A10" t="s">
        <v>22</v>
      </c>
      <c r="B10" t="s">
        <v>66</v>
      </c>
      <c r="C10">
        <v>485</v>
      </c>
      <c r="D10">
        <v>1.88</v>
      </c>
      <c r="E10">
        <v>1.65</v>
      </c>
      <c r="F10">
        <v>2.1</v>
      </c>
      <c r="G10">
        <v>0.13</v>
      </c>
      <c r="H10" s="3">
        <v>7.4300000000000005E-2</v>
      </c>
      <c r="I10">
        <v>184</v>
      </c>
      <c r="J10">
        <v>445</v>
      </c>
      <c r="K10" s="3">
        <v>0.16420000000000001</v>
      </c>
      <c r="N10">
        <v>490</v>
      </c>
      <c r="O10" s="3">
        <f>VLOOKUP(N10, C10:K17, 9, FALSE)</f>
        <v>0.16300000000000001</v>
      </c>
      <c r="P10" s="3">
        <f>VLOOKUP(N10, C30:K38, 9, FALSE)</f>
        <v>0.19439999999999999</v>
      </c>
      <c r="Q10" s="3">
        <f t="shared" si="2"/>
        <v>0.19769999999999999</v>
      </c>
      <c r="U10">
        <v>490</v>
      </c>
      <c r="V10" s="3">
        <f>K20</f>
        <v>0.25940000000000002</v>
      </c>
      <c r="W10" s="3">
        <f>K41</f>
        <v>0.23799999999999999</v>
      </c>
    </row>
    <row r="11" spans="1:24">
      <c r="A11" t="s">
        <v>23</v>
      </c>
      <c r="B11" t="s">
        <v>68</v>
      </c>
      <c r="C11">
        <v>490</v>
      </c>
      <c r="D11">
        <v>0.87</v>
      </c>
      <c r="E11">
        <v>0.56999999999999995</v>
      </c>
      <c r="F11">
        <v>0.99</v>
      </c>
      <c r="G11">
        <v>-0.25</v>
      </c>
      <c r="H11" s="3">
        <v>-0.22320000000000001</v>
      </c>
      <c r="I11">
        <v>66</v>
      </c>
      <c r="J11" s="4">
        <v>3858</v>
      </c>
      <c r="K11" s="3">
        <v>0.16300000000000001</v>
      </c>
    </row>
    <row r="12" spans="1:24">
      <c r="A12" t="s">
        <v>69</v>
      </c>
      <c r="B12" t="s">
        <v>70</v>
      </c>
      <c r="C12">
        <v>495</v>
      </c>
      <c r="D12">
        <v>0.41</v>
      </c>
      <c r="E12">
        <v>0.09</v>
      </c>
      <c r="F12">
        <v>0.4</v>
      </c>
      <c r="G12">
        <v>0</v>
      </c>
      <c r="H12" t="s">
        <v>16</v>
      </c>
      <c r="I12">
        <v>12</v>
      </c>
      <c r="J12">
        <v>12</v>
      </c>
      <c r="K12" s="3">
        <v>0.16109999999999999</v>
      </c>
    </row>
    <row r="14" spans="1:24">
      <c r="A14" t="s">
        <v>71</v>
      </c>
    </row>
    <row r="15" spans="1:24">
      <c r="A15" t="s">
        <v>24</v>
      </c>
      <c r="B15" t="s">
        <v>72</v>
      </c>
      <c r="C15">
        <v>465</v>
      </c>
      <c r="D15">
        <v>1.45</v>
      </c>
      <c r="E15">
        <v>1.36</v>
      </c>
      <c r="F15">
        <v>1.64</v>
      </c>
      <c r="G15">
        <v>-1.7</v>
      </c>
      <c r="H15" s="3">
        <v>-0.53969999999999996</v>
      </c>
      <c r="I15">
        <v>37</v>
      </c>
      <c r="J15">
        <v>231</v>
      </c>
      <c r="K15" s="3">
        <v>0.22109999999999999</v>
      </c>
    </row>
    <row r="16" spans="1:24">
      <c r="A16" t="s">
        <v>25</v>
      </c>
      <c r="B16" t="s">
        <v>73</v>
      </c>
      <c r="C16">
        <v>467.5</v>
      </c>
      <c r="D16">
        <v>1.95</v>
      </c>
      <c r="E16">
        <v>1.73</v>
      </c>
      <c r="F16">
        <v>2.0699999999999998</v>
      </c>
      <c r="G16">
        <v>-2.0499999999999998</v>
      </c>
      <c r="H16" s="3">
        <v>-0.51249999999999996</v>
      </c>
      <c r="I16">
        <v>2</v>
      </c>
      <c r="J16">
        <v>24</v>
      </c>
      <c r="K16" s="3">
        <v>0.2155</v>
      </c>
    </row>
    <row r="17" spans="1:11">
      <c r="A17" t="s">
        <v>26</v>
      </c>
      <c r="B17" t="s">
        <v>74</v>
      </c>
      <c r="C17">
        <v>470</v>
      </c>
      <c r="D17">
        <v>2.71</v>
      </c>
      <c r="E17">
        <v>2.2599999999999998</v>
      </c>
      <c r="F17">
        <v>2.9</v>
      </c>
      <c r="G17">
        <v>-1.79</v>
      </c>
      <c r="H17" s="3">
        <v>-0.39779999999999999</v>
      </c>
      <c r="I17">
        <v>79</v>
      </c>
      <c r="J17">
        <v>890</v>
      </c>
      <c r="K17" s="3">
        <v>0.2223</v>
      </c>
    </row>
    <row r="18" spans="1:11">
      <c r="A18" t="s">
        <v>75</v>
      </c>
      <c r="B18" t="s">
        <v>76</v>
      </c>
      <c r="C18">
        <v>475</v>
      </c>
      <c r="D18">
        <v>6.62</v>
      </c>
      <c r="E18">
        <v>6.4</v>
      </c>
      <c r="F18">
        <v>7.15</v>
      </c>
      <c r="G18">
        <v>-0.53</v>
      </c>
      <c r="H18" s="3">
        <v>-7.4099999999999999E-2</v>
      </c>
      <c r="I18">
        <v>5</v>
      </c>
      <c r="J18">
        <v>11</v>
      </c>
      <c r="K18" s="3">
        <v>0.311</v>
      </c>
    </row>
    <row r="19" spans="1:11">
      <c r="A19" t="s">
        <v>27</v>
      </c>
      <c r="B19" t="s">
        <v>77</v>
      </c>
      <c r="C19">
        <v>480</v>
      </c>
      <c r="D19">
        <v>8.67</v>
      </c>
      <c r="E19">
        <v>5.9</v>
      </c>
      <c r="F19">
        <v>6.55</v>
      </c>
      <c r="G19">
        <v>-1.58</v>
      </c>
      <c r="H19" s="3">
        <v>-0.15409999999999999</v>
      </c>
      <c r="I19">
        <v>1</v>
      </c>
      <c r="J19">
        <v>338</v>
      </c>
      <c r="K19" s="3">
        <v>0.20230000000000001</v>
      </c>
    </row>
    <row r="20" spans="1:11">
      <c r="A20" t="s">
        <v>28</v>
      </c>
      <c r="B20" t="s">
        <v>78</v>
      </c>
      <c r="C20">
        <v>490</v>
      </c>
      <c r="D20">
        <v>14.51</v>
      </c>
      <c r="E20">
        <v>12.4</v>
      </c>
      <c r="F20">
        <v>14.6</v>
      </c>
      <c r="G20">
        <v>-30.49</v>
      </c>
      <c r="H20" s="3">
        <v>-0.67759999999999998</v>
      </c>
      <c r="I20">
        <v>1</v>
      </c>
      <c r="J20">
        <v>470</v>
      </c>
      <c r="K20" s="3">
        <v>0.25940000000000002</v>
      </c>
    </row>
    <row r="21" spans="1:11">
      <c r="A21" t="s">
        <v>29</v>
      </c>
      <c r="B21" t="s">
        <v>30</v>
      </c>
      <c r="C21">
        <v>500</v>
      </c>
      <c r="D21">
        <v>57.1</v>
      </c>
      <c r="E21">
        <v>21.45</v>
      </c>
      <c r="F21">
        <v>23.5</v>
      </c>
      <c r="G21">
        <v>0</v>
      </c>
      <c r="H21" t="s">
        <v>16</v>
      </c>
      <c r="I21">
        <v>1</v>
      </c>
      <c r="J21">
        <v>4</v>
      </c>
      <c r="K21" s="3">
        <v>0.3049</v>
      </c>
    </row>
    <row r="23" spans="1:11">
      <c r="A23" t="s">
        <v>61</v>
      </c>
      <c r="B23" s="1">
        <v>44553</v>
      </c>
    </row>
    <row r="24" spans="1:11">
      <c r="A24" t="s">
        <v>64</v>
      </c>
    </row>
    <row r="25" spans="1:11">
      <c r="A25" t="s">
        <v>31</v>
      </c>
      <c r="B25" t="s">
        <v>79</v>
      </c>
      <c r="C25">
        <v>465</v>
      </c>
      <c r="D25">
        <v>15.32</v>
      </c>
      <c r="E25">
        <v>15.05</v>
      </c>
      <c r="F25">
        <v>16.55</v>
      </c>
      <c r="G25">
        <v>2.0699999999999998</v>
      </c>
      <c r="H25" s="3">
        <v>0.15620000000000001</v>
      </c>
      <c r="I25">
        <v>5</v>
      </c>
      <c r="J25">
        <v>61</v>
      </c>
      <c r="K25" s="3">
        <v>0.2208</v>
      </c>
    </row>
    <row r="26" spans="1:11">
      <c r="A26" t="s">
        <v>80</v>
      </c>
      <c r="B26" t="s">
        <v>81</v>
      </c>
      <c r="C26">
        <v>467.5</v>
      </c>
      <c r="D26">
        <v>13.23</v>
      </c>
      <c r="E26">
        <v>13.05</v>
      </c>
      <c r="F26">
        <v>15.25</v>
      </c>
      <c r="G26">
        <v>1.91</v>
      </c>
      <c r="H26" s="3">
        <v>0.16869999999999999</v>
      </c>
      <c r="I26">
        <v>9</v>
      </c>
      <c r="J26">
        <v>1</v>
      </c>
      <c r="K26" s="3">
        <v>0.2361</v>
      </c>
    </row>
    <row r="27" spans="1:11">
      <c r="A27" t="s">
        <v>32</v>
      </c>
      <c r="B27" t="s">
        <v>82</v>
      </c>
      <c r="C27">
        <v>470</v>
      </c>
      <c r="D27">
        <v>12.05</v>
      </c>
      <c r="E27">
        <v>11.35</v>
      </c>
      <c r="F27">
        <v>12.7</v>
      </c>
      <c r="G27">
        <v>1.61</v>
      </c>
      <c r="H27" s="3">
        <v>0.1542</v>
      </c>
      <c r="I27">
        <v>8</v>
      </c>
      <c r="J27">
        <v>87</v>
      </c>
      <c r="K27" s="3">
        <v>0.20979999999999999</v>
      </c>
    </row>
    <row r="28" spans="1:11">
      <c r="A28" t="s">
        <v>83</v>
      </c>
      <c r="B28" t="s">
        <v>84</v>
      </c>
      <c r="C28">
        <v>472.5</v>
      </c>
      <c r="D28">
        <v>7.45</v>
      </c>
      <c r="E28">
        <v>9.9499999999999993</v>
      </c>
      <c r="F28">
        <v>11.55</v>
      </c>
      <c r="G28">
        <v>-0.63</v>
      </c>
      <c r="H28" s="3">
        <v>-7.8E-2</v>
      </c>
      <c r="I28">
        <v>3</v>
      </c>
      <c r="J28" t="s">
        <v>16</v>
      </c>
      <c r="K28" s="3">
        <v>0.22220000000000001</v>
      </c>
    </row>
    <row r="29" spans="1:11">
      <c r="A29" t="s">
        <v>33</v>
      </c>
      <c r="B29" t="s">
        <v>79</v>
      </c>
      <c r="C29">
        <v>475</v>
      </c>
      <c r="D29">
        <v>8.42</v>
      </c>
      <c r="E29">
        <v>8.1999999999999993</v>
      </c>
      <c r="F29">
        <v>8.4499999999999993</v>
      </c>
      <c r="G29">
        <v>0.92</v>
      </c>
      <c r="H29" s="3">
        <v>0.1227</v>
      </c>
      <c r="I29">
        <v>17</v>
      </c>
      <c r="J29">
        <v>171</v>
      </c>
      <c r="K29" s="3">
        <v>0.1772</v>
      </c>
    </row>
    <row r="30" spans="1:11">
      <c r="A30" t="s">
        <v>34</v>
      </c>
      <c r="B30" t="s">
        <v>81</v>
      </c>
      <c r="C30">
        <v>480</v>
      </c>
      <c r="D30">
        <v>5.75</v>
      </c>
      <c r="E30">
        <v>5.45</v>
      </c>
      <c r="F30">
        <v>6.95</v>
      </c>
      <c r="G30">
        <v>0.65</v>
      </c>
      <c r="H30" s="3">
        <v>0.1275</v>
      </c>
      <c r="I30">
        <v>8</v>
      </c>
      <c r="J30">
        <v>37</v>
      </c>
      <c r="K30" s="3">
        <v>0.20599999999999999</v>
      </c>
    </row>
    <row r="31" spans="1:11">
      <c r="A31" t="s">
        <v>36</v>
      </c>
      <c r="B31" t="s">
        <v>85</v>
      </c>
      <c r="C31">
        <v>485</v>
      </c>
      <c r="D31">
        <v>3.5</v>
      </c>
      <c r="E31">
        <v>3.35</v>
      </c>
      <c r="F31">
        <v>4.5999999999999996</v>
      </c>
      <c r="G31">
        <v>0.79</v>
      </c>
      <c r="H31" s="3">
        <v>0.29149999999999998</v>
      </c>
      <c r="I31">
        <v>28</v>
      </c>
      <c r="J31">
        <v>4</v>
      </c>
      <c r="K31" s="3">
        <v>0.19750000000000001</v>
      </c>
    </row>
    <row r="32" spans="1:11">
      <c r="A32" t="s">
        <v>37</v>
      </c>
      <c r="B32" t="s">
        <v>85</v>
      </c>
      <c r="C32">
        <v>490</v>
      </c>
      <c r="D32">
        <v>2.08</v>
      </c>
      <c r="E32">
        <v>1.81</v>
      </c>
      <c r="F32">
        <v>2.97</v>
      </c>
      <c r="G32">
        <v>-0.15</v>
      </c>
      <c r="H32" s="3">
        <v>-6.7299999999999999E-2</v>
      </c>
      <c r="I32">
        <v>57</v>
      </c>
      <c r="J32">
        <v>67</v>
      </c>
      <c r="K32" s="3">
        <v>0.19439999999999999</v>
      </c>
    </row>
    <row r="33" spans="1:11">
      <c r="A33" t="s">
        <v>38</v>
      </c>
      <c r="B33" t="s">
        <v>86</v>
      </c>
      <c r="C33">
        <v>495</v>
      </c>
      <c r="D33">
        <v>1.21</v>
      </c>
      <c r="E33">
        <v>0.25</v>
      </c>
      <c r="F33">
        <v>1.88</v>
      </c>
      <c r="G33">
        <v>0.06</v>
      </c>
      <c r="H33" s="3">
        <v>5.2200000000000003E-2</v>
      </c>
      <c r="I33">
        <v>6</v>
      </c>
      <c r="J33">
        <v>4</v>
      </c>
      <c r="K33" s="3">
        <v>0.19450000000000001</v>
      </c>
    </row>
    <row r="35" spans="1:11">
      <c r="A35" t="s">
        <v>71</v>
      </c>
    </row>
    <row r="36" spans="1:11">
      <c r="A36" t="s">
        <v>39</v>
      </c>
      <c r="B36" t="s">
        <v>87</v>
      </c>
      <c r="C36">
        <v>465</v>
      </c>
      <c r="D36">
        <v>3.02</v>
      </c>
      <c r="E36">
        <v>2.79</v>
      </c>
      <c r="F36">
        <v>4.4000000000000004</v>
      </c>
      <c r="G36">
        <v>-2.0499999999999998</v>
      </c>
      <c r="H36" s="3">
        <v>-0.40429999999999999</v>
      </c>
      <c r="I36">
        <v>1</v>
      </c>
      <c r="J36">
        <v>41</v>
      </c>
      <c r="K36" s="3">
        <v>0.26229999999999998</v>
      </c>
    </row>
    <row r="37" spans="1:11">
      <c r="A37" t="s">
        <v>88</v>
      </c>
      <c r="B37" t="s">
        <v>89</v>
      </c>
      <c r="C37">
        <v>467.5</v>
      </c>
      <c r="D37">
        <v>3.8</v>
      </c>
      <c r="E37">
        <v>3.25</v>
      </c>
      <c r="F37">
        <v>4.8499999999999996</v>
      </c>
      <c r="G37">
        <v>-1.99</v>
      </c>
      <c r="H37" s="3">
        <v>-0.34370000000000001</v>
      </c>
      <c r="I37">
        <v>4</v>
      </c>
      <c r="J37">
        <v>6</v>
      </c>
      <c r="K37" s="3">
        <v>0.252</v>
      </c>
    </row>
    <row r="38" spans="1:11">
      <c r="A38" t="s">
        <v>90</v>
      </c>
      <c r="B38" t="s">
        <v>91</v>
      </c>
      <c r="C38">
        <v>470</v>
      </c>
      <c r="D38">
        <v>6.76</v>
      </c>
      <c r="E38">
        <v>4</v>
      </c>
      <c r="F38">
        <v>4.95</v>
      </c>
      <c r="G38">
        <v>0</v>
      </c>
      <c r="H38" t="s">
        <v>16</v>
      </c>
      <c r="I38">
        <v>7</v>
      </c>
      <c r="J38">
        <v>4</v>
      </c>
      <c r="K38" s="3">
        <v>0.2296</v>
      </c>
    </row>
    <row r="39" spans="1:11">
      <c r="A39" t="s">
        <v>92</v>
      </c>
      <c r="B39" t="s">
        <v>93</v>
      </c>
      <c r="C39">
        <v>472.5</v>
      </c>
      <c r="D39">
        <v>5.27</v>
      </c>
      <c r="E39">
        <v>4.7</v>
      </c>
      <c r="F39">
        <v>5.85</v>
      </c>
      <c r="G39">
        <v>-1.83</v>
      </c>
      <c r="H39" s="3">
        <v>-0.25769999999999998</v>
      </c>
      <c r="I39">
        <v>3</v>
      </c>
      <c r="J39" t="s">
        <v>16</v>
      </c>
      <c r="K39" s="3">
        <v>0.22839999999999999</v>
      </c>
    </row>
    <row r="40" spans="1:11">
      <c r="A40" t="s">
        <v>94</v>
      </c>
      <c r="B40" t="s">
        <v>35</v>
      </c>
      <c r="C40">
        <v>485</v>
      </c>
      <c r="D40">
        <v>14.95</v>
      </c>
      <c r="E40">
        <v>10.3</v>
      </c>
      <c r="F40">
        <v>11.2</v>
      </c>
      <c r="G40">
        <v>0</v>
      </c>
      <c r="H40" t="s">
        <v>16</v>
      </c>
      <c r="I40">
        <v>13</v>
      </c>
      <c r="J40">
        <v>0</v>
      </c>
      <c r="K40" s="3">
        <v>0.1981</v>
      </c>
    </row>
    <row r="41" spans="1:11">
      <c r="A41" t="s">
        <v>40</v>
      </c>
      <c r="B41" t="s">
        <v>41</v>
      </c>
      <c r="C41">
        <v>490</v>
      </c>
      <c r="D41">
        <v>53</v>
      </c>
      <c r="E41">
        <v>13</v>
      </c>
      <c r="F41">
        <v>15.95</v>
      </c>
      <c r="G41">
        <v>0</v>
      </c>
      <c r="H41" t="s">
        <v>16</v>
      </c>
      <c r="I41">
        <v>1</v>
      </c>
      <c r="J41">
        <v>1</v>
      </c>
      <c r="K41" s="3">
        <v>0.23799999999999999</v>
      </c>
    </row>
    <row r="43" spans="1:11">
      <c r="A43" t="s">
        <v>61</v>
      </c>
      <c r="B43" s="1">
        <v>44561</v>
      </c>
    </row>
    <row r="44" spans="1:11">
      <c r="A44" t="s">
        <v>64</v>
      </c>
    </row>
    <row r="45" spans="1:11">
      <c r="A45" t="s">
        <v>95</v>
      </c>
      <c r="B45" t="s">
        <v>96</v>
      </c>
      <c r="C45">
        <v>465</v>
      </c>
      <c r="D45">
        <v>15.1</v>
      </c>
      <c r="E45">
        <v>17</v>
      </c>
      <c r="F45">
        <v>18.850000000000001</v>
      </c>
      <c r="G45">
        <v>4.05</v>
      </c>
      <c r="H45" s="3">
        <v>0.36649999999999999</v>
      </c>
      <c r="I45">
        <v>5</v>
      </c>
      <c r="J45">
        <v>33</v>
      </c>
      <c r="K45" s="3">
        <v>0.23469999999999999</v>
      </c>
    </row>
    <row r="46" spans="1:11">
      <c r="A46" t="s">
        <v>97</v>
      </c>
      <c r="B46" t="s">
        <v>98</v>
      </c>
      <c r="C46">
        <v>470</v>
      </c>
      <c r="D46">
        <v>12.15</v>
      </c>
      <c r="E46">
        <v>13.1</v>
      </c>
      <c r="F46">
        <v>15.35</v>
      </c>
      <c r="G46">
        <v>0.4</v>
      </c>
      <c r="H46" s="3">
        <v>3.4000000000000002E-2</v>
      </c>
      <c r="I46">
        <v>4</v>
      </c>
      <c r="J46">
        <v>57</v>
      </c>
      <c r="K46" s="3">
        <v>0.22850000000000001</v>
      </c>
    </row>
    <row r="47" spans="1:11">
      <c r="A47" t="s">
        <v>99</v>
      </c>
      <c r="B47" t="s">
        <v>100</v>
      </c>
      <c r="C47">
        <v>475</v>
      </c>
      <c r="D47">
        <v>9.5</v>
      </c>
      <c r="E47">
        <v>9.9</v>
      </c>
      <c r="F47">
        <v>12.05</v>
      </c>
      <c r="G47">
        <v>-0.05</v>
      </c>
      <c r="H47" s="3">
        <v>-5.1999999999999998E-3</v>
      </c>
      <c r="I47">
        <v>8</v>
      </c>
      <c r="J47">
        <v>78</v>
      </c>
      <c r="K47" s="3">
        <v>0.2195</v>
      </c>
    </row>
    <row r="48" spans="1:11">
      <c r="A48" t="s">
        <v>101</v>
      </c>
      <c r="B48" t="s">
        <v>102</v>
      </c>
      <c r="C48">
        <v>480</v>
      </c>
      <c r="D48">
        <v>8.15</v>
      </c>
      <c r="E48">
        <v>6.9</v>
      </c>
      <c r="F48">
        <v>9.3000000000000007</v>
      </c>
      <c r="G48">
        <v>1.51</v>
      </c>
      <c r="H48" s="3">
        <v>0.22739999999999999</v>
      </c>
      <c r="I48">
        <v>26</v>
      </c>
      <c r="J48">
        <v>39</v>
      </c>
      <c r="K48" s="3">
        <v>0.2145</v>
      </c>
    </row>
    <row r="49" spans="1:11">
      <c r="A49" t="s">
        <v>103</v>
      </c>
      <c r="B49" t="s">
        <v>104</v>
      </c>
      <c r="C49">
        <v>485</v>
      </c>
      <c r="D49">
        <v>5.58</v>
      </c>
      <c r="E49">
        <v>5.0999999999999996</v>
      </c>
      <c r="F49">
        <v>6.55</v>
      </c>
      <c r="G49">
        <v>0.57999999999999996</v>
      </c>
      <c r="H49" s="3">
        <v>0.11600000000000001</v>
      </c>
      <c r="I49">
        <v>12</v>
      </c>
      <c r="J49">
        <v>9</v>
      </c>
      <c r="K49" s="3">
        <v>0.2009</v>
      </c>
    </row>
    <row r="50" spans="1:11">
      <c r="A50" t="s">
        <v>105</v>
      </c>
      <c r="B50" t="s">
        <v>104</v>
      </c>
      <c r="C50">
        <v>490</v>
      </c>
      <c r="D50">
        <v>3.88</v>
      </c>
      <c r="E50">
        <v>2.8</v>
      </c>
      <c r="F50">
        <v>4.7</v>
      </c>
      <c r="G50">
        <v>-0.12</v>
      </c>
      <c r="H50" s="3">
        <v>-0.03</v>
      </c>
      <c r="I50">
        <v>3</v>
      </c>
      <c r="J50">
        <v>8</v>
      </c>
      <c r="K50" s="3">
        <v>0.19769999999999999</v>
      </c>
    </row>
    <row r="51" spans="1:11">
      <c r="A51" t="s">
        <v>106</v>
      </c>
      <c r="B51" t="s">
        <v>107</v>
      </c>
      <c r="C51">
        <v>495</v>
      </c>
      <c r="D51">
        <v>2.4</v>
      </c>
      <c r="E51">
        <v>2.16</v>
      </c>
      <c r="F51">
        <v>3.25</v>
      </c>
      <c r="G51">
        <v>-0.13</v>
      </c>
      <c r="H51" s="3">
        <v>-5.1400000000000001E-2</v>
      </c>
      <c r="I51">
        <v>93</v>
      </c>
      <c r="J51">
        <v>6</v>
      </c>
      <c r="K51" s="3">
        <v>0.1946</v>
      </c>
    </row>
    <row r="53" spans="1:11">
      <c r="A53" t="s">
        <v>71</v>
      </c>
    </row>
    <row r="54" spans="1:11">
      <c r="A54" t="s">
        <v>108</v>
      </c>
      <c r="B54" t="s">
        <v>109</v>
      </c>
      <c r="C54">
        <v>465</v>
      </c>
      <c r="D54">
        <v>6.34</v>
      </c>
      <c r="E54">
        <v>3.8</v>
      </c>
      <c r="F54">
        <v>4.8</v>
      </c>
      <c r="G54">
        <v>0</v>
      </c>
      <c r="H54" t="s">
        <v>16</v>
      </c>
      <c r="I54">
        <v>8</v>
      </c>
      <c r="J54">
        <v>11</v>
      </c>
      <c r="K54" s="3">
        <v>0.21920000000000001</v>
      </c>
    </row>
    <row r="55" spans="1:11">
      <c r="A55" t="s">
        <v>110</v>
      </c>
      <c r="B55" t="s">
        <v>111</v>
      </c>
      <c r="C55">
        <v>470</v>
      </c>
      <c r="D55">
        <v>7.48</v>
      </c>
      <c r="E55">
        <v>4.9000000000000004</v>
      </c>
      <c r="F55">
        <v>6.95</v>
      </c>
      <c r="G55">
        <v>-1.72</v>
      </c>
      <c r="H55" s="3">
        <v>-0.187</v>
      </c>
      <c r="I55">
        <v>5</v>
      </c>
      <c r="J55">
        <v>0</v>
      </c>
      <c r="K55" s="3">
        <v>0.22900000000000001</v>
      </c>
    </row>
    <row r="56" spans="1:11">
      <c r="A56" t="s">
        <v>112</v>
      </c>
      <c r="B56" t="s">
        <v>113</v>
      </c>
      <c r="C56">
        <v>475</v>
      </c>
      <c r="D56">
        <v>7.89</v>
      </c>
      <c r="E56">
        <v>7.05</v>
      </c>
      <c r="F56">
        <v>8.6</v>
      </c>
      <c r="G56">
        <v>-2.4700000000000002</v>
      </c>
      <c r="H56" s="3">
        <v>-0.2384</v>
      </c>
      <c r="I56">
        <v>15</v>
      </c>
      <c r="J56">
        <v>13</v>
      </c>
      <c r="K56" s="3">
        <v>0.21890000000000001</v>
      </c>
    </row>
  </sheetData>
  <mergeCells count="1">
    <mergeCell ref="N2:X2"/>
  </mergeCells>
  <pageMargins left="0.7" right="0.7" top="0.75" bottom="0.75" header="0.3" footer="0.3"/>
  <pageSetup scale="4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D4BE-99C4-402B-85E8-21E435609B23}">
  <sheetPr>
    <tabColor rgb="FF00B050"/>
    <pageSetUpPr fitToPage="1"/>
  </sheetPr>
  <dimension ref="A1:Y46"/>
  <sheetViews>
    <sheetView topLeftCell="J1" workbookViewId="0">
      <selection activeCell="F35" sqref="F35"/>
    </sheetView>
  </sheetViews>
  <sheetFormatPr defaultRowHeight="14.4"/>
  <cols>
    <col min="1" max="1" width="13.77734375" customWidth="1"/>
    <col min="2" max="3" width="11.6640625" customWidth="1"/>
    <col min="4" max="4" width="15.21875" customWidth="1"/>
    <col min="5" max="11" width="11.6640625" customWidth="1"/>
    <col min="13" max="13" width="8.77734375" style="20"/>
    <col min="14" max="14" width="8.77734375" style="18"/>
    <col min="15" max="15" width="8.77734375" style="19"/>
    <col min="16" max="16" width="11.33203125" style="19" bestFit="1" customWidth="1"/>
    <col min="18" max="18" width="8.77734375" style="3"/>
    <col min="20" max="20" width="8.77734375" style="20"/>
    <col min="21" max="21" width="8.77734375" style="18"/>
    <col min="22" max="22" width="8.77734375" style="19"/>
    <col min="23" max="23" width="11.33203125" style="19" bestFit="1" customWidth="1"/>
    <col min="25" max="25" width="8.77734375" style="3"/>
  </cols>
  <sheetData>
    <row r="1" spans="1:25">
      <c r="A1" t="s">
        <v>45</v>
      </c>
      <c r="B1" s="16">
        <f>3/52</f>
        <v>5.7692307692307696E-2</v>
      </c>
      <c r="D1" t="s">
        <v>119</v>
      </c>
      <c r="E1" s="25">
        <f>B1/B5</f>
        <v>5.7692307692307696E-3</v>
      </c>
      <c r="G1" t="s">
        <v>5</v>
      </c>
      <c r="H1" s="19">
        <v>490</v>
      </c>
      <c r="J1" t="s">
        <v>129</v>
      </c>
      <c r="K1" s="19">
        <f>A23</f>
        <v>3.7540947403908138</v>
      </c>
      <c r="M1" s="20" t="s">
        <v>64</v>
      </c>
      <c r="T1" s="20" t="s">
        <v>71</v>
      </c>
    </row>
    <row r="2" spans="1:25">
      <c r="A2" t="s">
        <v>120</v>
      </c>
      <c r="B2">
        <v>478.23</v>
      </c>
      <c r="D2" t="s">
        <v>121</v>
      </c>
      <c r="E2" s="25">
        <f>EXP(B3*E1)</f>
        <v>1.0000017307707285</v>
      </c>
      <c r="J2" t="s">
        <v>130</v>
      </c>
      <c r="K2" s="19">
        <f>A36</f>
        <v>15.516679224760995</v>
      </c>
      <c r="M2" s="20" t="s">
        <v>61</v>
      </c>
      <c r="N2" s="18" t="s">
        <v>62</v>
      </c>
      <c r="O2" s="19" t="s">
        <v>55</v>
      </c>
      <c r="P2" s="19" t="s">
        <v>117</v>
      </c>
      <c r="Q2" s="3" t="s">
        <v>220</v>
      </c>
      <c r="R2"/>
      <c r="S2" s="20" t="s">
        <v>61</v>
      </c>
      <c r="T2" s="18" t="s">
        <v>62</v>
      </c>
      <c r="U2" s="19" t="s">
        <v>55</v>
      </c>
      <c r="V2" s="19" t="s">
        <v>117</v>
      </c>
      <c r="W2" s="3" t="s">
        <v>220</v>
      </c>
      <c r="Y2"/>
    </row>
    <row r="3" spans="1:25">
      <c r="A3" t="s">
        <v>48</v>
      </c>
      <c r="B3" s="3">
        <v>2.9999999999999997E-4</v>
      </c>
      <c r="D3" t="s">
        <v>122</v>
      </c>
      <c r="E3" s="25">
        <f>EXP(B4*SQRT(E1))</f>
        <v>1.0138428743585759</v>
      </c>
      <c r="J3" t="s">
        <v>131</v>
      </c>
      <c r="K3">
        <v>0.18099999999999999</v>
      </c>
      <c r="M3" s="41">
        <v>44547</v>
      </c>
      <c r="N3" s="18">
        <v>465</v>
      </c>
      <c r="O3" s="19">
        <v>14.23</v>
      </c>
      <c r="P3" s="19">
        <v>14.125</v>
      </c>
      <c r="Q3" s="3">
        <v>0.187</v>
      </c>
      <c r="R3"/>
      <c r="S3" s="41">
        <v>44547</v>
      </c>
      <c r="T3" s="18">
        <v>465</v>
      </c>
      <c r="U3" s="19">
        <v>1.45</v>
      </c>
      <c r="V3" s="19">
        <v>1.5</v>
      </c>
      <c r="W3" s="3">
        <v>0.2225</v>
      </c>
      <c r="Y3"/>
    </row>
    <row r="4" spans="1:25">
      <c r="A4" t="s">
        <v>49</v>
      </c>
      <c r="B4">
        <f>K3</f>
        <v>0.18099999999999999</v>
      </c>
      <c r="D4" t="s">
        <v>123</v>
      </c>
      <c r="E4" s="25">
        <f>1/E3</f>
        <v>0.98634613438760532</v>
      </c>
      <c r="M4" s="41"/>
      <c r="N4" s="18">
        <v>470</v>
      </c>
      <c r="O4" s="19">
        <v>10.44</v>
      </c>
      <c r="P4" s="19">
        <v>10.6</v>
      </c>
      <c r="Q4" s="3">
        <v>0.214</v>
      </c>
      <c r="R4"/>
      <c r="S4" s="41"/>
      <c r="T4" s="18">
        <v>470</v>
      </c>
      <c r="U4" s="19">
        <v>2.71</v>
      </c>
      <c r="V4" s="19">
        <v>2.58</v>
      </c>
      <c r="W4" s="3">
        <v>0.222</v>
      </c>
      <c r="Y4"/>
    </row>
    <row r="5" spans="1:25">
      <c r="A5" t="s">
        <v>124</v>
      </c>
      <c r="B5">
        <v>10</v>
      </c>
      <c r="D5" t="s">
        <v>125</v>
      </c>
      <c r="E5" s="25">
        <f>(E2-E4)/(E3-E4)</f>
        <v>0.4966260144853521</v>
      </c>
      <c r="M5" s="41"/>
      <c r="N5" s="18">
        <v>475</v>
      </c>
      <c r="O5" s="19">
        <v>7.06</v>
      </c>
      <c r="P5" s="19">
        <v>6.9499999999999993</v>
      </c>
      <c r="Q5" s="3">
        <v>0.192</v>
      </c>
      <c r="R5"/>
      <c r="S5" s="41"/>
      <c r="T5" s="18">
        <v>475</v>
      </c>
      <c r="U5" s="19">
        <v>6.62</v>
      </c>
      <c r="V5" s="19">
        <v>6.7750000000000004</v>
      </c>
      <c r="W5" s="3">
        <v>0.311</v>
      </c>
      <c r="Y5"/>
    </row>
    <row r="6" spans="1:25">
      <c r="D6" t="s">
        <v>126</v>
      </c>
      <c r="E6" s="25">
        <f>1-E5</f>
        <v>0.50337398551464796</v>
      </c>
      <c r="M6" s="41"/>
      <c r="N6" s="18">
        <v>480</v>
      </c>
      <c r="O6" s="19">
        <v>3.85</v>
      </c>
      <c r="P6" s="19">
        <v>3.6749999999999998</v>
      </c>
      <c r="Q6" s="3">
        <v>0.16800000000000001</v>
      </c>
      <c r="R6"/>
      <c r="S6" s="41"/>
      <c r="T6" s="18">
        <v>480</v>
      </c>
      <c r="U6" s="19">
        <v>8.67</v>
      </c>
      <c r="V6" s="19">
        <v>6.2249999999999996</v>
      </c>
      <c r="W6" s="3">
        <v>0.19850000000000001</v>
      </c>
      <c r="Y6"/>
    </row>
    <row r="7" spans="1:25">
      <c r="M7" s="41"/>
      <c r="N7" s="18">
        <v>485</v>
      </c>
      <c r="O7" s="19">
        <v>1.88</v>
      </c>
      <c r="P7" s="19">
        <v>1.875</v>
      </c>
      <c r="Q7" s="3">
        <v>0.17050000000000001</v>
      </c>
      <c r="R7"/>
      <c r="S7" s="41"/>
      <c r="T7" s="18"/>
      <c r="U7" s="19"/>
      <c r="W7" s="3"/>
      <c r="Y7"/>
    </row>
    <row r="8" spans="1:25">
      <c r="M8" s="41"/>
      <c r="N8" s="18">
        <v>490</v>
      </c>
      <c r="O8" s="19">
        <v>0.87</v>
      </c>
      <c r="P8" s="19">
        <v>0.78</v>
      </c>
      <c r="Q8" s="3">
        <v>0.161</v>
      </c>
      <c r="R8"/>
      <c r="S8" s="41"/>
      <c r="T8" s="18">
        <v>490</v>
      </c>
      <c r="U8" s="19">
        <v>14.51</v>
      </c>
      <c r="V8" s="19">
        <v>13.5</v>
      </c>
      <c r="W8" s="3">
        <v>0.2155</v>
      </c>
      <c r="Y8"/>
    </row>
    <row r="9" spans="1:25">
      <c r="A9" t="s">
        <v>127</v>
      </c>
      <c r="Q9" s="3"/>
      <c r="R9"/>
      <c r="S9" s="20"/>
      <c r="T9" s="18"/>
      <c r="U9" s="19"/>
      <c r="W9" s="3"/>
      <c r="Y9"/>
    </row>
    <row r="10" spans="1:25">
      <c r="A10" s="19">
        <f>B2</f>
        <v>478.23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41">
        <v>44553</v>
      </c>
      <c r="N10" s="18">
        <v>465</v>
      </c>
      <c r="O10" s="19">
        <v>15.32</v>
      </c>
      <c r="P10" s="19">
        <v>15.8</v>
      </c>
      <c r="Q10" s="3">
        <v>0.20200000000000001</v>
      </c>
      <c r="R10"/>
      <c r="S10" s="41">
        <v>44553</v>
      </c>
      <c r="T10" s="18">
        <v>465</v>
      </c>
      <c r="U10" s="19">
        <v>3.02</v>
      </c>
      <c r="V10" s="19">
        <v>3.5950000000000002</v>
      </c>
      <c r="W10" s="3">
        <v>0.23860000000000001</v>
      </c>
      <c r="Y10"/>
    </row>
    <row r="11" spans="1:25">
      <c r="A11" s="19">
        <f t="shared" ref="A11:E20" si="0">A10*$E$4</f>
        <v>471.70031184818453</v>
      </c>
      <c r="B11" s="19">
        <f>A10*$E$3</f>
        <v>484.85007780450178</v>
      </c>
      <c r="C11" s="19"/>
      <c r="D11" s="19"/>
      <c r="E11" s="19"/>
      <c r="F11" s="19"/>
      <c r="G11" s="19"/>
      <c r="H11" s="19"/>
      <c r="I11" s="19"/>
      <c r="J11" s="19"/>
      <c r="K11" s="19"/>
      <c r="M11" s="41"/>
      <c r="N11" s="18">
        <v>470</v>
      </c>
      <c r="O11" s="19">
        <v>12.05</v>
      </c>
      <c r="P11" s="19">
        <v>12.024999999999999</v>
      </c>
      <c r="Q11" s="3">
        <v>0.1908</v>
      </c>
      <c r="R11"/>
      <c r="S11" s="41"/>
      <c r="T11" s="18">
        <v>470</v>
      </c>
      <c r="U11" s="19">
        <v>6.76</v>
      </c>
      <c r="V11" s="19">
        <v>4.4749999999999996</v>
      </c>
      <c r="W11" s="3">
        <v>0.20949999999999999</v>
      </c>
      <c r="Y11"/>
    </row>
    <row r="12" spans="1:25">
      <c r="A12" s="19">
        <f t="shared" si="0"/>
        <v>465.25977918088478</v>
      </c>
      <c r="B12" s="19">
        <f t="shared" si="0"/>
        <v>478.23</v>
      </c>
      <c r="C12" s="19">
        <f>B11*$E$3</f>
        <v>491.56179651429522</v>
      </c>
      <c r="D12" s="19"/>
      <c r="E12" s="19"/>
      <c r="F12" s="19"/>
      <c r="G12" s="19"/>
      <c r="H12" s="19"/>
      <c r="I12" s="19"/>
      <c r="J12" s="19"/>
      <c r="K12" s="19"/>
      <c r="M12" s="41"/>
      <c r="N12" s="18">
        <v>475</v>
      </c>
      <c r="O12" s="19">
        <v>8.42</v>
      </c>
      <c r="P12" s="19">
        <v>8.3249999999999993</v>
      </c>
      <c r="Q12" s="3">
        <v>0.1736</v>
      </c>
      <c r="R12"/>
      <c r="S12" s="41"/>
      <c r="T12" s="18">
        <v>485</v>
      </c>
      <c r="U12" s="19">
        <v>14.95</v>
      </c>
      <c r="V12" s="19">
        <v>10.75</v>
      </c>
      <c r="W12" s="3">
        <v>0.17780000000000001</v>
      </c>
      <c r="Y12"/>
    </row>
    <row r="13" spans="1:25">
      <c r="A13" s="19">
        <f t="shared" si="0"/>
        <v>458.90718468109657</v>
      </c>
      <c r="B13" s="19">
        <f t="shared" si="0"/>
        <v>471.70031184818453</v>
      </c>
      <c r="C13" s="19">
        <f t="shared" si="0"/>
        <v>484.85007780450172</v>
      </c>
      <c r="D13" s="19">
        <f>C12*$E$3</f>
        <v>498.36642470291844</v>
      </c>
      <c r="E13" s="19"/>
      <c r="F13" s="19"/>
      <c r="G13" s="19"/>
      <c r="H13" s="19"/>
      <c r="I13" s="19"/>
      <c r="J13" s="19"/>
      <c r="K13" s="19"/>
      <c r="M13" s="41"/>
      <c r="N13" s="18">
        <v>480</v>
      </c>
      <c r="O13" s="19">
        <v>5.75</v>
      </c>
      <c r="P13" s="19">
        <v>6.2</v>
      </c>
      <c r="Q13" s="3">
        <v>0.18790000000000001</v>
      </c>
      <c r="R13"/>
      <c r="S13" s="41"/>
      <c r="T13" s="18">
        <v>490</v>
      </c>
      <c r="U13" s="19">
        <v>53</v>
      </c>
      <c r="V13" s="19">
        <v>14.475</v>
      </c>
      <c r="W13" s="3">
        <v>0.19239999999999999</v>
      </c>
      <c r="Y13"/>
    </row>
    <row r="14" spans="1:25">
      <c r="A14" s="19">
        <f t="shared" si="0"/>
        <v>452.6413276528985</v>
      </c>
      <c r="B14" s="19">
        <f t="shared" si="0"/>
        <v>465.25977918088478</v>
      </c>
      <c r="C14" s="19">
        <f t="shared" si="0"/>
        <v>478.22999999999996</v>
      </c>
      <c r="D14" s="19">
        <f t="shared" si="0"/>
        <v>491.56179651429517</v>
      </c>
      <c r="E14" s="19">
        <f>D13*$E$3</f>
        <v>505.26524850461362</v>
      </c>
      <c r="F14" s="19"/>
      <c r="G14" s="19"/>
      <c r="H14" s="19"/>
      <c r="I14" s="19"/>
      <c r="J14" s="19"/>
      <c r="K14" s="19"/>
      <c r="M14" s="41"/>
      <c r="N14" s="18">
        <v>485</v>
      </c>
      <c r="O14" s="19">
        <v>3.5</v>
      </c>
      <c r="P14" s="19">
        <v>3.9749999999999996</v>
      </c>
      <c r="Q14" s="3">
        <v>0.17780000000000001</v>
      </c>
      <c r="R14"/>
      <c r="S14" s="20"/>
      <c r="T14" s="18"/>
      <c r="U14" s="19"/>
      <c r="W14" s="3"/>
      <c r="Y14"/>
    </row>
    <row r="15" spans="1:25">
      <c r="A15" s="19">
        <f t="shared" si="0"/>
        <v>446.46102379450991</v>
      </c>
      <c r="B15" s="19">
        <f t="shared" si="0"/>
        <v>458.90718468109657</v>
      </c>
      <c r="C15" s="19">
        <f t="shared" si="0"/>
        <v>471.70031184818447</v>
      </c>
      <c r="D15" s="19">
        <f t="shared" si="0"/>
        <v>484.85007780450167</v>
      </c>
      <c r="E15" s="19">
        <f t="shared" si="0"/>
        <v>498.36642470291844</v>
      </c>
      <c r="F15" s="19">
        <f>E14*$E$3</f>
        <v>512.25957185741765</v>
      </c>
      <c r="G15" s="19"/>
      <c r="H15" s="19"/>
      <c r="I15" s="19"/>
      <c r="J15" s="19"/>
      <c r="K15" s="19"/>
      <c r="M15" s="41"/>
      <c r="N15" s="18">
        <v>490</v>
      </c>
      <c r="O15" s="19">
        <v>2.08</v>
      </c>
      <c r="P15" s="19">
        <v>2.39</v>
      </c>
      <c r="Q15" s="3">
        <v>0.17899999999999999</v>
      </c>
      <c r="R15"/>
      <c r="S15" s="20"/>
      <c r="T15" s="18"/>
      <c r="U15" s="19"/>
      <c r="W15" s="3"/>
      <c r="Y15"/>
    </row>
    <row r="16" spans="1:25">
      <c r="A16" s="19">
        <f t="shared" si="0"/>
        <v>440.36510497444755</v>
      </c>
      <c r="B16" s="19">
        <f t="shared" si="0"/>
        <v>452.6413276528985</v>
      </c>
      <c r="C16" s="19">
        <f t="shared" si="0"/>
        <v>465.25977918088472</v>
      </c>
      <c r="D16" s="19">
        <f t="shared" si="0"/>
        <v>478.2299999999999</v>
      </c>
      <c r="E16" s="19">
        <f t="shared" si="0"/>
        <v>491.56179651429517</v>
      </c>
      <c r="F16" s="19">
        <f>F15*$E$4</f>
        <v>505.26524850461362</v>
      </c>
      <c r="G16" s="19">
        <f>F15*$E$3</f>
        <v>519.35071674961773</v>
      </c>
      <c r="H16" s="19"/>
      <c r="I16" s="19"/>
      <c r="J16" s="19"/>
      <c r="K16" s="19"/>
      <c r="Q16" s="3"/>
      <c r="R16"/>
      <c r="S16" s="20"/>
      <c r="T16" s="18"/>
      <c r="U16" s="19"/>
      <c r="W16" s="3"/>
      <c r="Y16"/>
    </row>
    <row r="17" spans="1:25">
      <c r="A17" s="19">
        <f t="shared" si="0"/>
        <v>434.35241901073834</v>
      </c>
      <c r="B17" s="19">
        <f t="shared" si="0"/>
        <v>446.46102379450991</v>
      </c>
      <c r="C17" s="19">
        <f t="shared" si="0"/>
        <v>458.90718468109651</v>
      </c>
      <c r="D17" s="19">
        <f t="shared" si="0"/>
        <v>471.70031184818441</v>
      </c>
      <c r="E17" s="19">
        <f t="shared" si="0"/>
        <v>484.85007780450167</v>
      </c>
      <c r="F17" s="19">
        <f>F16*$E$4</f>
        <v>498.36642470291844</v>
      </c>
      <c r="G17" s="19">
        <f>G16*$E$4</f>
        <v>512.25957185741754</v>
      </c>
      <c r="H17" s="19">
        <f>G16*$E$3</f>
        <v>526.54002346961897</v>
      </c>
      <c r="I17" s="19"/>
      <c r="J17" s="19"/>
      <c r="K17" s="19"/>
      <c r="M17" s="41">
        <v>44561</v>
      </c>
      <c r="N17" s="18">
        <v>465</v>
      </c>
      <c r="O17" s="19">
        <v>15.1</v>
      </c>
      <c r="P17" s="19">
        <v>17.925000000000001</v>
      </c>
      <c r="Q17" s="3">
        <v>0.21970000000000001</v>
      </c>
      <c r="R17"/>
      <c r="S17" s="41">
        <v>44561</v>
      </c>
      <c r="T17" s="18">
        <v>465</v>
      </c>
      <c r="U17" s="19">
        <v>6.34</v>
      </c>
      <c r="V17" s="19">
        <v>4.3</v>
      </c>
      <c r="W17" s="3">
        <v>0.21079999999999999</v>
      </c>
      <c r="Y17"/>
    </row>
    <row r="18" spans="1:25">
      <c r="A18" s="19">
        <f t="shared" si="0"/>
        <v>428.42182945314715</v>
      </c>
      <c r="B18" s="19">
        <f t="shared" si="0"/>
        <v>440.36510497444755</v>
      </c>
      <c r="C18" s="19">
        <f t="shared" si="0"/>
        <v>452.64132765289844</v>
      </c>
      <c r="D18" s="19">
        <f t="shared" si="0"/>
        <v>465.25977918088466</v>
      </c>
      <c r="E18" s="19">
        <f t="shared" si="0"/>
        <v>478.2299999999999</v>
      </c>
      <c r="F18" s="19">
        <f>F17*$E$4</f>
        <v>491.56179651429517</v>
      </c>
      <c r="G18" s="19">
        <f>G17*$E$4</f>
        <v>505.26524850461351</v>
      </c>
      <c r="H18" s="19">
        <f>H17*$E$4</f>
        <v>519.35071674961762</v>
      </c>
      <c r="I18" s="19">
        <f>H17*$E$3</f>
        <v>533.82885085927046</v>
      </c>
      <c r="J18" s="19"/>
      <c r="K18" s="19"/>
      <c r="M18" s="41"/>
      <c r="N18" s="18">
        <v>470</v>
      </c>
      <c r="O18" s="19">
        <v>12.15</v>
      </c>
      <c r="P18" s="19">
        <v>14.225</v>
      </c>
      <c r="Q18" s="3">
        <v>0.20530000000000001</v>
      </c>
      <c r="R18"/>
      <c r="S18" s="41"/>
      <c r="T18" s="18">
        <v>470</v>
      </c>
      <c r="U18" s="19">
        <v>7.48</v>
      </c>
      <c r="V18" s="19">
        <v>5.9250000000000007</v>
      </c>
      <c r="W18" s="3">
        <v>0.20399999999999999</v>
      </c>
      <c r="Y18"/>
    </row>
    <row r="19" spans="1:25">
      <c r="A19" s="19">
        <f t="shared" si="0"/>
        <v>422.57221536837761</v>
      </c>
      <c r="B19" s="19">
        <f t="shared" si="0"/>
        <v>434.35241901073834</v>
      </c>
      <c r="C19" s="19">
        <f t="shared" si="0"/>
        <v>446.46102379450986</v>
      </c>
      <c r="D19" s="19">
        <f t="shared" si="0"/>
        <v>458.90718468109645</v>
      </c>
      <c r="E19" s="19">
        <f t="shared" si="0"/>
        <v>471.70031184818441</v>
      </c>
      <c r="F19" s="19">
        <f>F18*$E$4</f>
        <v>484.85007780450167</v>
      </c>
      <c r="G19" s="19">
        <f>G18*$E$4</f>
        <v>498.36642470291832</v>
      </c>
      <c r="H19" s="19">
        <f>H18*$E$4</f>
        <v>512.25957185741754</v>
      </c>
      <c r="I19" s="19">
        <f>I18*$E$4</f>
        <v>526.54002346961886</v>
      </c>
      <c r="J19" s="19">
        <f>I18*$E$3</f>
        <v>541.21857657069825</v>
      </c>
      <c r="K19" s="19"/>
      <c r="M19" s="41"/>
      <c r="N19" s="18">
        <v>475</v>
      </c>
      <c r="O19" s="19">
        <v>9.5</v>
      </c>
      <c r="P19" s="19">
        <v>10.975000000000001</v>
      </c>
      <c r="Q19" s="3">
        <v>0.20130000000000001</v>
      </c>
      <c r="R19"/>
      <c r="S19" s="41"/>
      <c r="T19" s="18">
        <v>475</v>
      </c>
      <c r="U19" s="19">
        <v>7.89</v>
      </c>
      <c r="V19" s="19">
        <v>7.8249999999999993</v>
      </c>
      <c r="W19" s="3">
        <v>0.20330000000000001</v>
      </c>
      <c r="Y19"/>
    </row>
    <row r="20" spans="1:25">
      <c r="A20" s="19">
        <f t="shared" si="0"/>
        <v>416.80247112820587</v>
      </c>
      <c r="B20" s="19">
        <f t="shared" si="0"/>
        <v>428.42182945314715</v>
      </c>
      <c r="C20" s="19">
        <f t="shared" si="0"/>
        <v>440.36510497444749</v>
      </c>
      <c r="D20" s="19">
        <f t="shared" si="0"/>
        <v>452.64132765289838</v>
      </c>
      <c r="E20" s="19">
        <f t="shared" si="0"/>
        <v>465.25977918088466</v>
      </c>
      <c r="F20" s="19">
        <f>F19*$E$4</f>
        <v>478.2299999999999</v>
      </c>
      <c r="G20" s="19">
        <f>G19*$E$4</f>
        <v>491.56179651429505</v>
      </c>
      <c r="H20" s="19">
        <f>H19*$E$4</f>
        <v>505.26524850461351</v>
      </c>
      <c r="I20" s="19">
        <f>I19*$E$4</f>
        <v>519.3507167496175</v>
      </c>
      <c r="J20" s="19">
        <f>J19*$E$4</f>
        <v>533.82885085927035</v>
      </c>
      <c r="K20" s="19">
        <f>J19*$E$3</f>
        <v>548.71059732669369</v>
      </c>
      <c r="M20" s="41"/>
      <c r="N20" s="18">
        <v>480</v>
      </c>
      <c r="O20" s="19">
        <v>8.15</v>
      </c>
      <c r="P20" s="19">
        <v>8.1000000000000014</v>
      </c>
      <c r="Q20" s="3">
        <v>0.1958</v>
      </c>
      <c r="R20"/>
      <c r="S20" s="20"/>
      <c r="T20" s="18"/>
      <c r="U20" s="19"/>
      <c r="W20"/>
      <c r="X20" s="3"/>
      <c r="Y20"/>
    </row>
    <row r="21" spans="1:25">
      <c r="M21" s="41"/>
      <c r="N21" s="18">
        <v>485</v>
      </c>
      <c r="O21" s="19">
        <v>5.58</v>
      </c>
      <c r="P21" s="19">
        <v>5.8249999999999993</v>
      </c>
      <c r="Q21" s="3">
        <v>0.1862</v>
      </c>
      <c r="R21"/>
      <c r="S21" s="20"/>
      <c r="T21" s="18"/>
      <c r="U21" s="19"/>
      <c r="W21"/>
      <c r="X21" s="3"/>
      <c r="Y21"/>
    </row>
    <row r="22" spans="1:25">
      <c r="A22" t="s">
        <v>129</v>
      </c>
      <c r="B22" t="s">
        <v>128</v>
      </c>
      <c r="C22" s="19">
        <f>H1</f>
        <v>490</v>
      </c>
      <c r="M22" s="41"/>
      <c r="N22" s="18">
        <v>490</v>
      </c>
      <c r="O22" s="19">
        <v>3.88</v>
      </c>
      <c r="P22" s="19">
        <v>3.75</v>
      </c>
      <c r="Q22" s="3">
        <v>0.18099999999999999</v>
      </c>
      <c r="R22"/>
      <c r="S22" s="20"/>
      <c r="T22" s="18"/>
      <c r="U22" s="19"/>
      <c r="W22"/>
      <c r="X22" s="3"/>
      <c r="Y22"/>
    </row>
    <row r="23" spans="1:25">
      <c r="A23" s="19">
        <f t="shared" ref="A23:B31" si="1">MAX(($E$6*A24+$E$5*B24)/$E$2, A10 - $C$22)</f>
        <v>3.7540947403908138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25">
      <c r="A24" s="19">
        <f t="shared" si="1"/>
        <v>1.8610993654552492</v>
      </c>
      <c r="B24" s="19">
        <f t="shared" si="1"/>
        <v>5.6728245212035828</v>
      </c>
      <c r="C24" s="19"/>
      <c r="D24" s="19"/>
      <c r="E24" s="19"/>
      <c r="F24" s="19"/>
      <c r="G24" s="19"/>
      <c r="H24" s="19"/>
      <c r="I24" s="19"/>
      <c r="J24" s="19"/>
      <c r="K24" s="19"/>
      <c r="O24" s="39" t="s">
        <v>61</v>
      </c>
      <c r="P24" s="39"/>
      <c r="Q24" s="39"/>
      <c r="V24" s="40" t="s">
        <v>61</v>
      </c>
      <c r="W24" s="40"/>
      <c r="X24" s="40"/>
    </row>
    <row r="25" spans="1:25" ht="14.55" customHeight="1">
      <c r="A25" s="19">
        <f t="shared" si="1"/>
        <v>0.7328648252515283</v>
      </c>
      <c r="B25" s="19">
        <f t="shared" ref="B25" si="2">MAX(($E$6*B26+$E$5*C26)/$E$2, B12 - $C$22)</f>
        <v>3.004670426311725</v>
      </c>
      <c r="C25" s="19">
        <f t="shared" ref="C25" si="3">MAX(($E$6*C26+$E$5*D26)/$E$2, C12 - $C$22)</f>
        <v>8.3772522795106052</v>
      </c>
      <c r="D25" s="19"/>
      <c r="E25" s="19"/>
      <c r="F25" s="19"/>
      <c r="G25" s="19"/>
      <c r="H25" s="19"/>
      <c r="I25" s="19"/>
      <c r="J25" s="19"/>
      <c r="K25" s="19"/>
      <c r="M25" s="38" t="s">
        <v>5</v>
      </c>
      <c r="N25" s="19"/>
      <c r="O25" s="16">
        <v>1.9230769230769232E-2</v>
      </c>
      <c r="P25" s="16">
        <v>3.8461538461538464E-2</v>
      </c>
      <c r="Q25" s="16">
        <v>5.7692307692307696E-2</v>
      </c>
      <c r="T25" s="38" t="s">
        <v>5</v>
      </c>
      <c r="U25"/>
      <c r="V25" s="16">
        <v>0.02</v>
      </c>
      <c r="W25" s="16">
        <v>0.04</v>
      </c>
      <c r="X25" s="16">
        <v>0.06</v>
      </c>
    </row>
    <row r="26" spans="1:25" ht="14.55" customHeight="1">
      <c r="A26" s="19">
        <f t="shared" si="1"/>
        <v>0.19630068404448606</v>
      </c>
      <c r="B26" s="19">
        <f t="shared" ref="B26:B27" si="4">MAX(($E$6*B27+$E$5*C27)/$E$2, B13 - $C$22)</f>
        <v>1.2767221560933604</v>
      </c>
      <c r="C26" s="19">
        <f t="shared" ref="C26:C27" si="5">MAX(($E$6*C27+$E$5*D27)/$E$2, C13 - $C$22)</f>
        <v>4.7561078914633566</v>
      </c>
      <c r="D26" s="19">
        <f t="shared" ref="D26:D27" si="6">MAX(($E$6*D27+$E$5*E27)/$E$2, D13 - $C$22)</f>
        <v>12.047628636511005</v>
      </c>
      <c r="E26" s="19"/>
      <c r="F26" s="19"/>
      <c r="G26" s="19"/>
      <c r="H26" s="19"/>
      <c r="I26" s="19"/>
      <c r="J26" s="19"/>
      <c r="K26" s="19"/>
      <c r="M26" s="38"/>
      <c r="N26" s="19">
        <v>465</v>
      </c>
      <c r="O26" s="3">
        <f t="shared" ref="O26:O31" si="7">Q3</f>
        <v>0.187</v>
      </c>
      <c r="P26" s="3">
        <f t="shared" ref="P26:P31" si="8">Q10</f>
        <v>0.20200000000000001</v>
      </c>
      <c r="Q26" s="3">
        <f t="shared" ref="Q26:Q31" si="9">Q17</f>
        <v>0.21970000000000001</v>
      </c>
      <c r="T26" s="38"/>
      <c r="U26" s="19">
        <v>465</v>
      </c>
      <c r="V26" s="3">
        <f t="shared" ref="V26:V31" si="10">W3</f>
        <v>0.2225</v>
      </c>
      <c r="W26" s="3">
        <f>W10</f>
        <v>0.23860000000000001</v>
      </c>
      <c r="X26" s="3">
        <f>W17</f>
        <v>0.21079999999999999</v>
      </c>
    </row>
    <row r="27" spans="1:25">
      <c r="A27" s="19">
        <f t="shared" si="1"/>
        <v>2.3431318670458525E-2</v>
      </c>
      <c r="B27" s="19">
        <f t="shared" si="4"/>
        <v>0.37151961868560845</v>
      </c>
      <c r="C27" s="19">
        <f t="shared" si="5"/>
        <v>2.1942287010101453</v>
      </c>
      <c r="D27" s="19">
        <f t="shared" si="6"/>
        <v>7.3528135263346632</v>
      </c>
      <c r="E27" s="19">
        <f t="shared" ref="E27" si="11">MAX(($E$6*E28+$E$5*F28)/$E$2, E14 - $C$22)</f>
        <v>16.806277148703579</v>
      </c>
      <c r="F27" s="19"/>
      <c r="G27" s="19"/>
      <c r="H27" s="19"/>
      <c r="I27" s="19"/>
      <c r="J27" s="19"/>
      <c r="K27" s="19"/>
      <c r="M27" s="38"/>
      <c r="N27" s="19">
        <v>470</v>
      </c>
      <c r="O27" s="3">
        <f t="shared" si="7"/>
        <v>0.214</v>
      </c>
      <c r="P27" s="3">
        <f t="shared" si="8"/>
        <v>0.1908</v>
      </c>
      <c r="Q27" s="3">
        <f t="shared" si="9"/>
        <v>0.20530000000000001</v>
      </c>
      <c r="T27" s="38"/>
      <c r="U27" s="19">
        <v>470</v>
      </c>
      <c r="V27" s="3">
        <f t="shared" si="10"/>
        <v>0.222</v>
      </c>
      <c r="W27" s="3">
        <f>W11</f>
        <v>0.20949999999999999</v>
      </c>
      <c r="X27" s="3">
        <f>W18</f>
        <v>0.20399999999999999</v>
      </c>
    </row>
    <row r="28" spans="1:25">
      <c r="A28" s="19">
        <f t="shared" si="1"/>
        <v>0</v>
      </c>
      <c r="B28" s="19">
        <f t="shared" ref="B28" si="12">MAX(($E$6*B29+$E$5*C29)/$E$2, B15 - $C$22)</f>
        <v>4.718109511234659E-2</v>
      </c>
      <c r="C28" s="19">
        <f t="shared" ref="C28" si="13">MAX(($E$6*C29+$E$5*D29)/$E$2, C15 - $C$22)</f>
        <v>0.70026642920353788</v>
      </c>
      <c r="D28" s="19">
        <f t="shared" ref="D28" si="14">MAX(($E$6*D29+$E$5*E29)/$E$2, D15 - $C$22)</f>
        <v>3.7084980279078366</v>
      </c>
      <c r="E28" s="19">
        <f t="shared" ref="E28" si="15">MAX(($E$6*E29+$E$5*F29)/$E$2, E15 - $C$22)</f>
        <v>11.046672263983298</v>
      </c>
      <c r="F28" s="19">
        <f t="shared" ref="F28" si="16">MAX(($E$6*F29+$E$5*G29)/$E$2, F15 - $C$22)</f>
        <v>22.644199990156615</v>
      </c>
      <c r="G28" s="19"/>
      <c r="H28" s="19"/>
      <c r="I28" s="19"/>
      <c r="J28" s="19"/>
      <c r="K28" s="19"/>
      <c r="M28" s="38"/>
      <c r="N28" s="19">
        <v>475</v>
      </c>
      <c r="O28" s="3">
        <f t="shared" si="7"/>
        <v>0.192</v>
      </c>
      <c r="P28" s="3">
        <f t="shared" si="8"/>
        <v>0.1736</v>
      </c>
      <c r="Q28" s="3">
        <f t="shared" si="9"/>
        <v>0.20130000000000001</v>
      </c>
      <c r="T28" s="38"/>
      <c r="U28" s="19">
        <v>475</v>
      </c>
      <c r="V28" s="3">
        <f t="shared" si="10"/>
        <v>0.311</v>
      </c>
      <c r="W28" s="3"/>
      <c r="X28" s="3">
        <f>W19</f>
        <v>0.20330000000000001</v>
      </c>
    </row>
    <row r="29" spans="1:25">
      <c r="A29" s="19">
        <f t="shared" si="1"/>
        <v>0</v>
      </c>
      <c r="B29" s="19">
        <f t="shared" ref="B29" si="17">MAX(($E$6*B30+$E$5*C30)/$E$2, B16 - $C$22)</f>
        <v>0</v>
      </c>
      <c r="C29" s="19">
        <f t="shared" ref="C29" si="18">MAX(($E$6*C30+$E$5*D30)/$E$2, C16 - $C$22)</f>
        <v>9.5003433964083159E-2</v>
      </c>
      <c r="D29" s="19">
        <f t="shared" ref="D29" si="19">MAX(($E$6*D30+$E$5*E30)/$E$2, D16 - $C$22)</f>
        <v>1.313755955149106</v>
      </c>
      <c r="E29" s="19">
        <f t="shared" ref="E29" si="20">MAX(($E$6*E30+$E$5*F30)/$E$2, E16 - $C$22)</f>
        <v>6.1357918966215124</v>
      </c>
      <c r="F29" s="19">
        <f t="shared" ref="F29" si="21">MAX(($E$6*F30+$E$5*G30)/$E$2, F16 - $C$22)</f>
        <v>16.024318359956094</v>
      </c>
      <c r="G29" s="19">
        <f t="shared" ref="G29" si="22">MAX(($E$6*G30+$E$5*H30)/$E$2, G16 - $C$22)</f>
        <v>29.354109045567242</v>
      </c>
      <c r="H29" s="19"/>
      <c r="I29" s="19"/>
      <c r="J29" s="19"/>
      <c r="K29" s="19"/>
      <c r="M29" s="38"/>
      <c r="N29" s="19">
        <v>480</v>
      </c>
      <c r="O29" s="3">
        <f t="shared" si="7"/>
        <v>0.16800000000000001</v>
      </c>
      <c r="P29" s="3">
        <f t="shared" si="8"/>
        <v>0.18790000000000001</v>
      </c>
      <c r="Q29" s="3">
        <f t="shared" si="9"/>
        <v>0.1958</v>
      </c>
      <c r="T29" s="38"/>
      <c r="U29" s="19">
        <v>480</v>
      </c>
      <c r="V29" s="3">
        <f t="shared" si="10"/>
        <v>0.19850000000000001</v>
      </c>
      <c r="W29" s="3"/>
      <c r="X29" s="3"/>
    </row>
    <row r="30" spans="1:25">
      <c r="A30" s="19">
        <f t="shared" si="1"/>
        <v>0</v>
      </c>
      <c r="B30" s="19">
        <f t="shared" ref="B30" si="23">MAX(($E$6*B31+$E$5*C31)/$E$2, B17 - $C$22)</f>
        <v>0</v>
      </c>
      <c r="C30" s="19">
        <f t="shared" ref="C30" si="24">MAX(($E$6*C31+$E$5*D31)/$E$2, C17 - $C$22)</f>
        <v>0</v>
      </c>
      <c r="D30" s="19">
        <f t="shared" ref="D30" si="25">MAX(($E$6*D31+$E$5*E31)/$E$2, D17 - $C$22)</f>
        <v>0.19129807062502943</v>
      </c>
      <c r="E30" s="19">
        <f t="shared" ref="E30" si="26">MAX(($E$6*E31+$E$5*F31)/$E$2, E17 - $C$22)</f>
        <v>2.4514699617363331</v>
      </c>
      <c r="F30" s="19">
        <f t="shared" ref="F30" si="27">MAX(($E$6*F31+$E$5*G31)/$E$2, F17 - $C$22)</f>
        <v>9.8701964220330645</v>
      </c>
      <c r="G30" s="19">
        <f t="shared" ref="G30" si="28">MAX(($E$6*G31+$E$5*H31)/$E$2, G17 - $C$22)</f>
        <v>22.262116081581446</v>
      </c>
      <c r="H30" s="19">
        <f t="shared" ref="H30" si="29">MAX(($E$6*H31+$E$5*I31)/$E$2, H17 - $C$22)</f>
        <v>36.542567693782829</v>
      </c>
      <c r="I30" s="19"/>
      <c r="J30" s="19"/>
      <c r="K30" s="19"/>
      <c r="M30" s="38"/>
      <c r="N30" s="19">
        <v>485</v>
      </c>
      <c r="O30" s="3">
        <f t="shared" si="7"/>
        <v>0.17050000000000001</v>
      </c>
      <c r="P30" s="3">
        <f t="shared" si="8"/>
        <v>0.17780000000000001</v>
      </c>
      <c r="Q30" s="3">
        <f t="shared" si="9"/>
        <v>0.1862</v>
      </c>
      <c r="T30" s="38"/>
      <c r="U30" s="19">
        <v>485</v>
      </c>
      <c r="V30" s="3">
        <f t="shared" si="10"/>
        <v>0</v>
      </c>
      <c r="W30" s="3">
        <f>W12</f>
        <v>0.17780000000000001</v>
      </c>
      <c r="X30" s="3"/>
    </row>
    <row r="31" spans="1:25">
      <c r="A31" s="19">
        <f t="shared" si="1"/>
        <v>0</v>
      </c>
      <c r="B31" s="19">
        <f t="shared" ref="B31" si="30">MAX(($E$6*B32+$E$5*C32)/$E$2, B18 - $C$22)</f>
        <v>0</v>
      </c>
      <c r="C31" s="19">
        <f t="shared" ref="C31" si="31">MAX(($E$6*C32+$E$5*D32)/$E$2, C18 - $C$22)</f>
        <v>0</v>
      </c>
      <c r="D31" s="19">
        <f t="shared" ref="D31" si="32">MAX(($E$6*D32+$E$5*E32)/$E$2, D18 - $C$22)</f>
        <v>0</v>
      </c>
      <c r="E31" s="19">
        <f t="shared" ref="E31" si="33">MAX(($E$6*E32+$E$5*F32)/$E$2, E18 - $C$22)</f>
        <v>0.38519609552949186</v>
      </c>
      <c r="F31" s="19">
        <f t="shared" ref="F31" si="34">MAX(($E$6*F32+$E$5*G32)/$E$2, F18 - $C$22)</f>
        <v>4.5458281382962271</v>
      </c>
      <c r="G31" s="19">
        <f t="shared" ref="G31" si="35">MAX(($E$6*G32+$E$5*H32)/$E$2, G18 - $C$22)</f>
        <v>15.266944655523963</v>
      </c>
      <c r="H31" s="19">
        <f t="shared" ref="H31" si="36">MAX(($E$6*H32+$E$5*I32)/$E$2, H18 - $C$22)</f>
        <v>29.352412900528023</v>
      </c>
      <c r="I31" s="19">
        <f t="shared" ref="I31" si="37">MAX(($E$6*I32+$E$5*J32)/$E$2, I18 - $C$22)</f>
        <v>43.830547010180851</v>
      </c>
      <c r="J31" s="19"/>
      <c r="K31" s="19"/>
      <c r="M31" s="38"/>
      <c r="N31" s="19">
        <v>490</v>
      </c>
      <c r="O31" s="3">
        <f t="shared" si="7"/>
        <v>0.161</v>
      </c>
      <c r="P31" s="3">
        <f t="shared" si="8"/>
        <v>0.17899999999999999</v>
      </c>
      <c r="Q31" s="3">
        <f t="shared" si="9"/>
        <v>0.18099999999999999</v>
      </c>
      <c r="T31" s="38"/>
      <c r="U31" s="19">
        <v>490</v>
      </c>
      <c r="V31" s="3">
        <f t="shared" si="10"/>
        <v>0.2155</v>
      </c>
      <c r="W31" s="3">
        <f>W13</f>
        <v>0.19239999999999999</v>
      </c>
      <c r="X31" s="3"/>
    </row>
    <row r="32" spans="1:25">
      <c r="A32" s="19">
        <f>MAX(($E$6*A33+$E$5*B33)/$E$2, A19 - $C$22)</f>
        <v>0</v>
      </c>
      <c r="B32" s="19">
        <f t="shared" ref="B32:J32" si="38">MAX(($E$6*B33+$E$5*C33)/$E$2, B19 - $C$22)</f>
        <v>0</v>
      </c>
      <c r="C32" s="19">
        <f t="shared" si="38"/>
        <v>0</v>
      </c>
      <c r="D32" s="19">
        <f t="shared" si="38"/>
        <v>0</v>
      </c>
      <c r="E32" s="19">
        <f t="shared" si="38"/>
        <v>0</v>
      </c>
      <c r="F32" s="19">
        <f t="shared" si="38"/>
        <v>0.77562743589820549</v>
      </c>
      <c r="G32" s="19">
        <f t="shared" si="38"/>
        <v>8.3672727791074717</v>
      </c>
      <c r="H32" s="19">
        <f t="shared" si="38"/>
        <v>22.260419933606602</v>
      </c>
      <c r="I32" s="19">
        <f t="shared" si="38"/>
        <v>36.54087154580796</v>
      </c>
      <c r="J32" s="19">
        <f t="shared" si="38"/>
        <v>51.219424646887362</v>
      </c>
      <c r="K32" s="19"/>
    </row>
    <row r="33" spans="1:11">
      <c r="A33" s="19">
        <f t="shared" ref="A33:K33" si="39">MAX(A20-$C$22,0)</f>
        <v>0</v>
      </c>
      <c r="B33" s="19">
        <f t="shared" si="39"/>
        <v>0</v>
      </c>
      <c r="C33" s="19">
        <f t="shared" si="39"/>
        <v>0</v>
      </c>
      <c r="D33" s="19">
        <f t="shared" si="39"/>
        <v>0</v>
      </c>
      <c r="E33" s="19">
        <f t="shared" si="39"/>
        <v>0</v>
      </c>
      <c r="F33" s="19">
        <f t="shared" si="39"/>
        <v>0</v>
      </c>
      <c r="G33" s="19">
        <f t="shared" si="39"/>
        <v>1.5617965142950538</v>
      </c>
      <c r="H33" s="19">
        <f t="shared" si="39"/>
        <v>15.26524850461351</v>
      </c>
      <c r="I33" s="19">
        <f t="shared" si="39"/>
        <v>29.350716749617504</v>
      </c>
      <c r="J33" s="19">
        <f t="shared" si="39"/>
        <v>43.828850859270347</v>
      </c>
      <c r="K33" s="19">
        <f t="shared" si="39"/>
        <v>58.710597326693687</v>
      </c>
    </row>
    <row r="35" spans="1:11">
      <c r="A35" t="s">
        <v>130</v>
      </c>
      <c r="B35" t="s">
        <v>128</v>
      </c>
      <c r="C35" s="19">
        <f>H1</f>
        <v>490</v>
      </c>
    </row>
    <row r="36" spans="1:11">
      <c r="A36" s="19">
        <f t="shared" ref="A36:B44" si="40">MAX(($E$6*A37+$E$5*B37)/$E$2, $C$35 - A10)</f>
        <v>15.516679224760995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>
      <c r="A37" s="19">
        <f t="shared" si="40"/>
        <v>20.154645362216019</v>
      </c>
      <c r="B37" s="19">
        <f t="shared" si="40"/>
        <v>10.815748191380004</v>
      </c>
      <c r="C37" s="19"/>
      <c r="D37" s="19"/>
      <c r="E37" s="19"/>
      <c r="F37" s="19"/>
      <c r="G37" s="19"/>
      <c r="H37" s="19"/>
      <c r="I37" s="19"/>
      <c r="J37" s="19"/>
      <c r="K37" s="19"/>
    </row>
    <row r="38" spans="1:11">
      <c r="A38" s="19">
        <f t="shared" si="40"/>
        <v>25.468330452940936</v>
      </c>
      <c r="B38" s="19">
        <f t="shared" ref="B38" si="41">MAX(($E$6*B39+$E$5*C39)/$E$2, $C$35 - B12)</f>
        <v>14.768830119352574</v>
      </c>
      <c r="C38" s="19">
        <f t="shared" ref="C38" si="42">MAX(($E$6*C39+$E$5*D39)/$E$2, $C$35 - C12)</f>
        <v>6.8089909383771117</v>
      </c>
      <c r="D38" s="19"/>
      <c r="E38" s="19"/>
      <c r="F38" s="19"/>
      <c r="G38" s="19"/>
      <c r="H38" s="19"/>
      <c r="I38" s="19"/>
      <c r="J38" s="19"/>
      <c r="K38" s="19"/>
    </row>
    <row r="39" spans="1:11">
      <c r="A39" s="19">
        <f t="shared" si="40"/>
        <v>31.285860617560001</v>
      </c>
      <c r="B39" s="19">
        <f t="shared" ref="B39" si="43">MAX(($E$6*B40+$E$5*C40)/$E$2, $C$35 - B13)</f>
        <v>19.5718425937422</v>
      </c>
      <c r="C39" s="19">
        <f t="shared" ref="C39" si="44">MAX(($E$6*C40+$E$5*D40)/$E$2, $C$35 - C13)</f>
        <v>9.9006075540150817</v>
      </c>
      <c r="D39" s="19">
        <f t="shared" ref="D39" si="45">MAX(($E$6*D40+$E$5*E40)/$E$2, $C$35 - D13)</f>
        <v>3.6753903067076505</v>
      </c>
      <c r="E39" s="19"/>
      <c r="F39" s="19"/>
      <c r="G39" s="19"/>
      <c r="H39" s="19"/>
      <c r="I39" s="19"/>
      <c r="J39" s="19"/>
      <c r="K39" s="19"/>
    </row>
    <row r="40" spans="1:11">
      <c r="A40" s="19">
        <f t="shared" si="40"/>
        <v>37.380444161565471</v>
      </c>
      <c r="B40" s="19">
        <f t="shared" ref="B40" si="46">MAX(($E$6*B41+$E$5*C41)/$E$2, $C$35 - B14)</f>
        <v>25.108575154321876</v>
      </c>
      <c r="C40" s="19">
        <f t="shared" ref="C40" si="47">MAX(($E$6*C41+$E$5*D41)/$E$2, $C$35 - C14)</f>
        <v>13.959947163206609</v>
      </c>
      <c r="D40" s="19">
        <f t="shared" ref="D40" si="48">MAX(($E$6*D41+$E$5*E41)/$E$2, $C$35 - D14)</f>
        <v>5.7861456403113394</v>
      </c>
      <c r="E40" s="19">
        <f t="shared" ref="E40" si="49">MAX(($E$6*E41+$E$5*F41)/$E$2, $C$35 - E14)</f>
        <v>1.5359676174522761</v>
      </c>
      <c r="F40" s="19"/>
      <c r="G40" s="19"/>
      <c r="H40" s="19"/>
      <c r="I40" s="19"/>
      <c r="J40" s="19"/>
      <c r="K40" s="19"/>
    </row>
    <row r="41" spans="1:11">
      <c r="A41" s="19">
        <f t="shared" si="40"/>
        <v>43.538976205490087</v>
      </c>
      <c r="B41" s="19">
        <f t="shared" ref="B41" si="50">MAX(($E$6*B42+$E$5*C42)/$E$2, $C$35 - B15)</f>
        <v>31.138362529768749</v>
      </c>
      <c r="C41" s="19">
        <f t="shared" ref="C41" si="51">MAX(($E$6*C42+$E$5*D42)/$E$2, $C$35 - C15)</f>
        <v>18.996944757869468</v>
      </c>
      <c r="D41" s="19">
        <f t="shared" ref="D41" si="52">MAX(($E$6*D42+$E$5*E42)/$E$2, $C$35 - D15)</f>
        <v>8.8545573551179313</v>
      </c>
      <c r="E41" s="19">
        <f t="shared" ref="E41" si="53">MAX(($E$6*E42+$E$5*F42)/$E$2, $C$35 - E15)</f>
        <v>2.676061644427389</v>
      </c>
      <c r="F41" s="19">
        <f t="shared" ref="F41" si="54">MAX(($E$6*F42+$E$5*G42)/$E$2, $C$35 - F15)</f>
        <v>0.38038776647159006</v>
      </c>
      <c r="G41" s="19"/>
      <c r="H41" s="19"/>
      <c r="I41" s="19"/>
      <c r="J41" s="19"/>
      <c r="K41" s="19"/>
    </row>
    <row r="42" spans="1:11">
      <c r="A42" s="19">
        <f t="shared" si="40"/>
        <v>49.634895025552453</v>
      </c>
      <c r="B42" s="19">
        <f t="shared" ref="B42" si="55">MAX(($E$6*B43+$E$5*C43)/$E$2, $C$35 - B16)</f>
        <v>37.358672347101503</v>
      </c>
      <c r="C42" s="19">
        <f t="shared" ref="C42" si="56">MAX(($E$6*C43+$E$5*D43)/$E$2, $C$35 - C16)</f>
        <v>24.833641956955031</v>
      </c>
      <c r="D42" s="19">
        <f t="shared" ref="D42" si="57">MAX(($E$6*D43+$E$5*E43)/$E$2, $C$35 - D16)</f>
        <v>13.081006876454637</v>
      </c>
      <c r="E42" s="19">
        <f t="shared" ref="E42" si="58">MAX(($E$6*E43+$E$5*F43)/$E$2, $C$35 - E16)</f>
        <v>4.5707112559003509</v>
      </c>
      <c r="F42" s="19">
        <f t="shared" ref="F42" si="59">MAX(($E$6*F43+$E$5*G43)/$E$2, $C$35 - F16)</f>
        <v>0.75567755939293102</v>
      </c>
      <c r="G42" s="19">
        <f t="shared" ref="G42" si="60">MAX(($E$6*G43+$E$5*H43)/$E$2, $C$35 - G16)</f>
        <v>0</v>
      </c>
      <c r="H42" s="19"/>
      <c r="I42" s="19"/>
      <c r="J42" s="19"/>
      <c r="K42" s="19"/>
    </row>
    <row r="43" spans="1:11">
      <c r="A43" s="19">
        <f t="shared" si="40"/>
        <v>55.647580989261655</v>
      </c>
      <c r="B43" s="19">
        <f t="shared" ref="B43" si="61">MAX(($E$6*B44+$E$5*C44)/$E$2, $C$35 - B17)</f>
        <v>43.538976205490087</v>
      </c>
      <c r="C43" s="19">
        <f t="shared" ref="C43" si="62">MAX(($E$6*C44+$E$5*D44)/$E$2, $C$35 - C17)</f>
        <v>31.09281531890349</v>
      </c>
      <c r="D43" s="19">
        <f t="shared" ref="D43" si="63">MAX(($E$6*D44+$E$5*E44)/$E$2, $C$35 - D17)</f>
        <v>18.489507803701844</v>
      </c>
      <c r="E43" s="19">
        <f t="shared" ref="E43" si="64">MAX(($E$6*E44+$E$5*F44)/$E$2, $C$35 - E17)</f>
        <v>7.5990628224252346</v>
      </c>
      <c r="F43" s="19">
        <f t="shared" ref="F43" si="65">MAX(($E$6*F44+$E$5*G44)/$E$2, $C$35 - F17)</f>
        <v>1.5012274949507518</v>
      </c>
      <c r="G43" s="19">
        <f t="shared" ref="G43" si="66">MAX(($E$6*G44+$E$5*H44)/$E$2, $C$35 - G17)</f>
        <v>0</v>
      </c>
      <c r="H43" s="19">
        <f t="shared" ref="H43" si="67">MAX(($E$6*H44+$E$5*I44)/$E$2, $C$35 - H17)</f>
        <v>0</v>
      </c>
      <c r="I43" s="19"/>
      <c r="J43" s="19"/>
      <c r="K43" s="19"/>
    </row>
    <row r="44" spans="1:11">
      <c r="A44" s="19">
        <f t="shared" si="40"/>
        <v>61.578170546852846</v>
      </c>
      <c r="B44" s="19">
        <f t="shared" ref="B44" si="68">MAX(($E$6*B45+$E$5*C45)/$E$2, $C$35 - B18)</f>
        <v>49.634895025552453</v>
      </c>
      <c r="C44" s="19">
        <f t="shared" ref="C44" si="69">MAX(($E$6*C45+$E$5*D45)/$E$2, $C$35 - C18)</f>
        <v>37.35867234710156</v>
      </c>
      <c r="D44" s="19">
        <f t="shared" ref="D44" si="70">MAX(($E$6*D45+$E$5*E45)/$E$2, $C$35 - D18)</f>
        <v>24.740220819115336</v>
      </c>
      <c r="E44" s="19">
        <f t="shared" ref="E44" si="71">MAX(($E$6*E45+$E$5*F45)/$E$2, $C$35 - E18)</f>
        <v>12.153926843371609</v>
      </c>
      <c r="F44" s="19">
        <f t="shared" ref="F44" si="72">MAX(($E$6*F45+$E$5*G45)/$E$2, $C$35 - F18)</f>
        <v>2.9823354730906564</v>
      </c>
      <c r="G44" s="19">
        <f t="shared" ref="G44" si="73">MAX(($E$6*G45+$E$5*H45)/$E$2, $C$35 - G18)</f>
        <v>0</v>
      </c>
      <c r="H44" s="19">
        <f t="shared" ref="H44" si="74">MAX(($E$6*H45+$E$5*I45)/$E$2, $C$35 - H18)</f>
        <v>0</v>
      </c>
      <c r="I44" s="19">
        <f t="shared" ref="I44" si="75">MAX(($E$6*I45+$E$5*J45)/$E$2, $C$35 - I18)</f>
        <v>0</v>
      </c>
      <c r="J44" s="19"/>
      <c r="K44" s="19"/>
    </row>
    <row r="45" spans="1:11">
      <c r="A45" s="19">
        <f>MAX(($E$6*A46+$E$5*B46)/$E$2, $C$35 - A19)</f>
        <v>67.427784631622387</v>
      </c>
      <c r="B45" s="19">
        <f t="shared" ref="B45:J45" si="76">MAX(($E$6*B46+$E$5*C46)/$E$2, $C$35 - B19)</f>
        <v>55.647580989261655</v>
      </c>
      <c r="C45" s="19">
        <f t="shared" si="76"/>
        <v>43.538976205490144</v>
      </c>
      <c r="D45" s="19">
        <f t="shared" si="76"/>
        <v>31.092815318903547</v>
      </c>
      <c r="E45" s="19">
        <f t="shared" si="76"/>
        <v>18.299688151815587</v>
      </c>
      <c r="F45" s="19">
        <f t="shared" si="76"/>
        <v>5.9247015552074274</v>
      </c>
      <c r="G45" s="19">
        <f t="shared" si="76"/>
        <v>0</v>
      </c>
      <c r="H45" s="19">
        <f t="shared" si="76"/>
        <v>0</v>
      </c>
      <c r="I45" s="19">
        <f t="shared" si="76"/>
        <v>0</v>
      </c>
      <c r="J45" s="19">
        <f t="shared" si="76"/>
        <v>0</v>
      </c>
      <c r="K45" s="19"/>
    </row>
    <row r="46" spans="1:11">
      <c r="A46" s="19">
        <f t="shared" ref="A46:K46" si="77">MAX($C$35-A20,0)</f>
        <v>73.197528871794134</v>
      </c>
      <c r="B46" s="19">
        <f t="shared" si="77"/>
        <v>61.578170546852846</v>
      </c>
      <c r="C46" s="19">
        <f t="shared" si="77"/>
        <v>49.63489502555251</v>
      </c>
      <c r="D46" s="19">
        <f t="shared" si="77"/>
        <v>37.358672347101617</v>
      </c>
      <c r="E46" s="19">
        <f t="shared" si="77"/>
        <v>24.740220819115336</v>
      </c>
      <c r="F46" s="19">
        <f t="shared" si="77"/>
        <v>11.770000000000095</v>
      </c>
      <c r="G46" s="19">
        <f t="shared" si="77"/>
        <v>0</v>
      </c>
      <c r="H46" s="19">
        <f t="shared" si="77"/>
        <v>0</v>
      </c>
      <c r="I46" s="19">
        <f t="shared" si="77"/>
        <v>0</v>
      </c>
      <c r="J46" s="19">
        <f t="shared" si="77"/>
        <v>0</v>
      </c>
      <c r="K46" s="19">
        <f t="shared" si="77"/>
        <v>0</v>
      </c>
    </row>
  </sheetData>
  <mergeCells count="10">
    <mergeCell ref="M25:M31"/>
    <mergeCell ref="O24:Q24"/>
    <mergeCell ref="T25:T31"/>
    <mergeCell ref="V24:X24"/>
    <mergeCell ref="S3:S8"/>
    <mergeCell ref="S10:S13"/>
    <mergeCell ref="S17:S19"/>
    <mergeCell ref="M3:M8"/>
    <mergeCell ref="M10:M15"/>
    <mergeCell ref="M17:M22"/>
  </mergeCells>
  <pageMargins left="0.7" right="0.7" top="0.75" bottom="0.75" header="0.3" footer="0.3"/>
  <pageSetup scale="3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A210-22D4-4C55-BEB9-53A3FE7B2838}">
  <sheetPr>
    <tabColor rgb="FF00B050"/>
    <pageSetUpPr fitToPage="1"/>
  </sheetPr>
  <dimension ref="A1:S32"/>
  <sheetViews>
    <sheetView topLeftCell="A25" workbookViewId="0">
      <selection activeCell="E9" sqref="E9"/>
    </sheetView>
  </sheetViews>
  <sheetFormatPr defaultRowHeight="14.4"/>
  <cols>
    <col min="1" max="1" width="13.33203125" bestFit="1" customWidth="1"/>
    <col min="2" max="2" width="10" bestFit="1" customWidth="1"/>
    <col min="4" max="4" width="10" bestFit="1" customWidth="1"/>
    <col min="8" max="8" width="8.77734375" style="18"/>
    <col min="9" max="9" width="8.77734375" style="19"/>
    <col min="10" max="10" width="11.33203125" style="19" bestFit="1" customWidth="1"/>
    <col min="11" max="12" width="8.77734375" style="3"/>
    <col min="15" max="15" width="8.77734375" style="18"/>
    <col min="16" max="16" width="8.77734375" style="19"/>
    <col min="17" max="17" width="11.33203125" style="19" bestFit="1" customWidth="1"/>
    <col min="18" max="19" width="8.77734375" style="3"/>
  </cols>
  <sheetData>
    <row r="1" spans="1:19">
      <c r="A1" s="5" t="s">
        <v>44</v>
      </c>
    </row>
    <row r="2" spans="1:19">
      <c r="A2" s="6" t="s">
        <v>45</v>
      </c>
      <c r="B2" s="14">
        <f>3/52</f>
        <v>5.7692307692307696E-2</v>
      </c>
      <c r="G2" t="s">
        <v>64</v>
      </c>
      <c r="N2" t="s">
        <v>71</v>
      </c>
    </row>
    <row r="3" spans="1:19">
      <c r="A3" s="6" t="s">
        <v>46</v>
      </c>
      <c r="B3" s="7">
        <f>'Stock Info'!B4</f>
        <v>478.23</v>
      </c>
      <c r="G3" t="s">
        <v>61</v>
      </c>
      <c r="H3" s="18" t="s">
        <v>62</v>
      </c>
      <c r="I3" s="19" t="s">
        <v>55</v>
      </c>
      <c r="J3" s="19" t="s">
        <v>117</v>
      </c>
      <c r="K3" s="3" t="s">
        <v>118</v>
      </c>
      <c r="L3" s="3" t="s">
        <v>220</v>
      </c>
      <c r="N3" t="s">
        <v>61</v>
      </c>
      <c r="O3" s="18" t="s">
        <v>62</v>
      </c>
      <c r="P3" s="19" t="s">
        <v>55</v>
      </c>
      <c r="Q3" s="19" t="s">
        <v>117</v>
      </c>
      <c r="R3" s="3" t="s">
        <v>63</v>
      </c>
      <c r="S3" s="3" t="s">
        <v>220</v>
      </c>
    </row>
    <row r="4" spans="1:19">
      <c r="A4" s="6" t="s">
        <v>47</v>
      </c>
      <c r="B4" s="7">
        <v>490</v>
      </c>
      <c r="G4" s="17">
        <v>44547</v>
      </c>
      <c r="H4" s="18">
        <v>465</v>
      </c>
      <c r="I4" s="19">
        <f>VLOOKUP(H4, 'Options Data'!C5:D12, 2, FALSE)</f>
        <v>14.23</v>
      </c>
      <c r="J4" s="19">
        <f>(VLOOKUP(H4, 'Options Data'!C5:F12, 3, FALSE) + VLOOKUP(H4, 'Options Data'!C5:F12, 4, FALSE)) / 2</f>
        <v>14.125</v>
      </c>
      <c r="K4" s="3">
        <v>0.23350000000000001</v>
      </c>
      <c r="L4" s="3">
        <v>0.22850000000000001</v>
      </c>
      <c r="N4" s="17">
        <v>44547</v>
      </c>
      <c r="O4" s="18">
        <v>465</v>
      </c>
      <c r="P4" s="19">
        <f>VLOOKUP(O4, 'Options Data'!C15:D21, 2,FALSE)</f>
        <v>1.45</v>
      </c>
      <c r="Q4" s="19">
        <f>(VLOOKUP(O4, 'Options Data'!C15:F21, 3, FALSE) +VLOOKUP(O4, 'Options Data'!C15:F21, 4, FALSE)) / 2</f>
        <v>1.5</v>
      </c>
      <c r="R4" s="3">
        <v>0.25540000000000002</v>
      </c>
      <c r="S4" s="3">
        <v>0.25800000000000001</v>
      </c>
    </row>
    <row r="5" spans="1:19">
      <c r="A5" s="6" t="s">
        <v>48</v>
      </c>
      <c r="B5" s="8">
        <v>2.9999999999999997E-4</v>
      </c>
      <c r="G5" s="17">
        <v>44547</v>
      </c>
      <c r="H5" s="18">
        <v>470</v>
      </c>
      <c r="I5" s="19">
        <f>VLOOKUP(H5, 'Options Data'!C6:D13, 2, FALSE)</f>
        <v>10.44</v>
      </c>
      <c r="J5" s="19">
        <f>(VLOOKUP(H5, 'Options Data'!C6:F13, 3, FALSE) + VLOOKUP(H5, 'Options Data'!C6:F13, 4, FALSE)) / 2</f>
        <v>10.6</v>
      </c>
      <c r="K5" s="3">
        <v>0.21659999999999999</v>
      </c>
      <c r="L5" s="3">
        <v>0.2235</v>
      </c>
      <c r="N5" s="17">
        <v>44547</v>
      </c>
      <c r="O5" s="18">
        <v>470</v>
      </c>
      <c r="P5" s="19">
        <f>VLOOKUP(O5, 'Options Data'!C16:D22, 2,FALSE)</f>
        <v>2.71</v>
      </c>
      <c r="Q5" s="19">
        <f>(VLOOKUP(O5, 'Options Data'!C16:F22, 3, FALSE) +VLOOKUP(O5, 'Options Data'!C16:F22, 4, FALSE)) / 2</f>
        <v>2.58</v>
      </c>
      <c r="R5" s="3">
        <v>0.23799999999999999</v>
      </c>
      <c r="S5" s="3">
        <v>0.23250000000000001</v>
      </c>
    </row>
    <row r="6" spans="1:19">
      <c r="A6" s="6" t="s">
        <v>49</v>
      </c>
      <c r="B6" s="6">
        <v>0.18940000000000001</v>
      </c>
      <c r="G6" s="17">
        <v>44547</v>
      </c>
      <c r="H6" s="18">
        <v>475</v>
      </c>
      <c r="I6" s="19">
        <f>VLOOKUP(H6, 'Options Data'!C7:D14, 2, FALSE)</f>
        <v>7.06</v>
      </c>
      <c r="J6" s="19">
        <f>(VLOOKUP(H6, 'Options Data'!C7:F14, 3, FALSE) + VLOOKUP(H6, 'Options Data'!C7:F14, 4, FALSE)) / 2</f>
        <v>6.9499999999999993</v>
      </c>
      <c r="K6" s="3">
        <v>0.2024</v>
      </c>
      <c r="L6" s="3">
        <v>0.1983</v>
      </c>
      <c r="N6" s="17">
        <v>44547</v>
      </c>
      <c r="O6" s="18">
        <v>475</v>
      </c>
      <c r="P6" s="19">
        <f>VLOOKUP(O6, 'Options Data'!C17:D23, 2,FALSE)</f>
        <v>6.62</v>
      </c>
      <c r="Q6" s="19">
        <f>(VLOOKUP(O6, 'Options Data'!C17:F23, 3, FALSE) +VLOOKUP(O6, 'Options Data'!C17:F23, 4, FALSE)) / 2</f>
        <v>6.7750000000000004</v>
      </c>
      <c r="R6" s="3">
        <v>0.30980000000000002</v>
      </c>
      <c r="S6" s="3">
        <v>0.316</v>
      </c>
    </row>
    <row r="7" spans="1:19">
      <c r="G7" s="17">
        <v>44547</v>
      </c>
      <c r="H7" s="18">
        <v>480</v>
      </c>
      <c r="I7" s="19">
        <f>VLOOKUP(H7, 'Options Data'!C8:D15, 2, FALSE)</f>
        <v>3.85</v>
      </c>
      <c r="J7" s="19">
        <f>(VLOOKUP(H7, 'Options Data'!C8:F15, 3, FALSE) + VLOOKUP(H7, 'Options Data'!C8:F15, 4, FALSE)) / 2</f>
        <v>3.6749999999999998</v>
      </c>
      <c r="K7" s="3">
        <v>0.1772</v>
      </c>
      <c r="L7" s="3">
        <v>0.17080000000000001</v>
      </c>
      <c r="N7" s="17">
        <v>44547</v>
      </c>
      <c r="O7" s="18">
        <v>480</v>
      </c>
      <c r="P7" s="19">
        <f>VLOOKUP(O7, 'Options Data'!C18:D24, 2,FALSE)</f>
        <v>8.67</v>
      </c>
      <c r="Q7" s="19">
        <f>(VLOOKUP(O7, 'Options Data'!C18:F24, 3, FALSE) +VLOOKUP(O7, 'Options Data'!C18:F24, 4, FALSE)) / 2</f>
        <v>6.2249999999999996</v>
      </c>
      <c r="R7" s="3">
        <v>0.29299999999999998</v>
      </c>
      <c r="S7" s="3">
        <v>0.20050000000000001</v>
      </c>
    </row>
    <row r="8" spans="1:19">
      <c r="G8" s="17">
        <v>44547</v>
      </c>
      <c r="H8" s="18">
        <v>485</v>
      </c>
      <c r="I8" s="19">
        <f>VLOOKUP(H8, 'Options Data'!C9:D16, 2, FALSE)</f>
        <v>1.88</v>
      </c>
      <c r="J8" s="19">
        <f>(VLOOKUP(H8, 'Options Data'!C9:F16, 3, FALSE) + VLOOKUP(H8, 'Options Data'!C9:F16, 4, FALSE)) / 2</f>
        <v>1.875</v>
      </c>
      <c r="K8" s="3">
        <v>0.17799999999999999</v>
      </c>
      <c r="L8" s="3">
        <v>0.17799999999999999</v>
      </c>
      <c r="N8" s="17">
        <v>44547</v>
      </c>
    </row>
    <row r="9" spans="1:19">
      <c r="A9" s="9" t="s">
        <v>50</v>
      </c>
      <c r="G9" s="17">
        <v>44547</v>
      </c>
      <c r="H9" s="18">
        <v>490</v>
      </c>
      <c r="I9" s="19">
        <f>VLOOKUP(H9, 'Options Data'!C10:D17, 2, FALSE)</f>
        <v>0.87</v>
      </c>
      <c r="J9" s="19">
        <f>(VLOOKUP(H9, 'Options Data'!C10:F17, 3, FALSE) + VLOOKUP(H9, 'Options Data'!C10:F17, 4, FALSE)) / 2</f>
        <v>0.78</v>
      </c>
      <c r="K9" s="3">
        <v>0.20150000000000001</v>
      </c>
      <c r="L9" s="3">
        <v>0.19700000000000001</v>
      </c>
      <c r="N9" s="17">
        <v>44547</v>
      </c>
      <c r="O9" s="18">
        <v>490</v>
      </c>
      <c r="P9" s="19">
        <f>VLOOKUP(O9, 'Options Data'!C20:D26, 2,FALSE)</f>
        <v>14.51</v>
      </c>
      <c r="Q9" s="19">
        <f>(VLOOKUP(O9, 'Options Data'!C20:F26, 3, FALSE) +VLOOKUP(O9, 'Options Data'!C20:F26, 4, FALSE)) / 2</f>
        <v>13.5</v>
      </c>
      <c r="R9" s="3">
        <v>0.28610000000000002</v>
      </c>
      <c r="S9" s="3">
        <v>0.24179999999999999</v>
      </c>
    </row>
    <row r="10" spans="1:19">
      <c r="A10" s="10" t="s">
        <v>51</v>
      </c>
      <c r="B10" s="11">
        <f>( LOG(_xlfn.SINGLE(S0)/_xlfn.SINGLE(K)) +_xlfn.SINGLE( dt)*(_xlfn.SINGLE(rfr)+_xlfn.SINGLE(sigma)^2/2) ) / (_xlfn.SINGLE( sigma)*SQRT(_xlfn.SINGLE(dt)) )</f>
        <v>-0.208983796064794</v>
      </c>
    </row>
    <row r="11" spans="1:19">
      <c r="A11" s="10" t="s">
        <v>52</v>
      </c>
      <c r="B11" s="11">
        <f>( LOG(_xlfn.SINGLE(S0)/_xlfn.SINGLE(K)) +_xlfn.SINGLE( dt)*(_xlfn.SINGLE(rfr)-_xlfn.SINGLE(sigma)^2/2) ) / (_xlfn.SINGLE( sigma)*SQRT(_xlfn.SINGLE(dt)) )</f>
        <v>-0.25447620456081926</v>
      </c>
      <c r="G11" s="17">
        <v>44553</v>
      </c>
      <c r="H11" s="18">
        <v>465</v>
      </c>
      <c r="I11" s="19">
        <f>VLOOKUP(H11, 'Options Data'!C25:D33, 2, FALSE)</f>
        <v>15.32</v>
      </c>
      <c r="J11" s="19">
        <f>(VLOOKUP(H11, 'Options Data'!C25:F33, 3, FALSE) +VLOOKUP(H11, 'Options Data'!C25:F33, 4, FALSE)) / 2</f>
        <v>15.8</v>
      </c>
      <c r="K11" s="3">
        <v>0.20200000000000001</v>
      </c>
      <c r="L11" s="3">
        <v>0.2172</v>
      </c>
      <c r="N11" s="17">
        <v>44553</v>
      </c>
      <c r="O11" s="18">
        <v>465</v>
      </c>
      <c r="P11" s="19">
        <f>VLOOKUP(O11, 'Options Data'!C36:D41, 2, FALSE)</f>
        <v>3.02</v>
      </c>
      <c r="Q11" s="19">
        <f>(VLOOKUP(O11, 'Options Data'!C36:F41, 3, FALSE) + VLOOKUP(O11, 'Options Data'!C36:F41, 4, FALSE))/2</f>
        <v>3.5950000000000002</v>
      </c>
      <c r="R11" s="3">
        <v>0.23150000000000001</v>
      </c>
      <c r="S11" s="3">
        <v>0.24929999999999999</v>
      </c>
    </row>
    <row r="12" spans="1:19">
      <c r="G12" s="17">
        <v>44553</v>
      </c>
      <c r="H12" s="18">
        <v>470</v>
      </c>
      <c r="I12" s="19">
        <f>VLOOKUP(H12, 'Options Data'!C26:D34, 2, FALSE)</f>
        <v>12.05</v>
      </c>
      <c r="J12" s="19">
        <f>(VLOOKUP(H12, 'Options Data'!C26:F34, 3, FALSE) +VLOOKUP(H12, 'Options Data'!C26:F34, 4, FALSE)) / 2</f>
        <v>12.024999999999999</v>
      </c>
      <c r="K12" s="3">
        <v>0.20069999999999999</v>
      </c>
      <c r="L12" s="3">
        <v>0.2001</v>
      </c>
      <c r="N12" s="17">
        <v>44553</v>
      </c>
      <c r="O12" s="18">
        <v>470</v>
      </c>
      <c r="P12" s="19">
        <f>VLOOKUP(O12, 'Options Data'!C37:D42, 2, FALSE)</f>
        <v>6.76</v>
      </c>
      <c r="Q12" s="19">
        <f>(VLOOKUP(O12, 'Options Data'!C37:F42, 3, FALSE) + VLOOKUP(O12, 'Options Data'!C37:F42, 4, FALSE))/2</f>
        <v>4.4749999999999996</v>
      </c>
      <c r="S12" s="3">
        <v>0.2198</v>
      </c>
    </row>
    <row r="13" spans="1:19">
      <c r="A13" s="12"/>
      <c r="B13" s="10" t="s">
        <v>53</v>
      </c>
      <c r="C13" s="12"/>
      <c r="D13" s="10" t="s">
        <v>54</v>
      </c>
      <c r="G13" s="17">
        <v>44553</v>
      </c>
      <c r="H13" s="18">
        <v>475</v>
      </c>
      <c r="I13" s="19">
        <f>VLOOKUP(H13, 'Options Data'!C27:D35, 2, FALSE)</f>
        <v>8.42</v>
      </c>
      <c r="J13" s="19">
        <f>(VLOOKUP(H13, 'Options Data'!C27:F35, 3, FALSE) +VLOOKUP(H13, 'Options Data'!C27:F35, 4, FALSE)) / 2</f>
        <v>8.3249999999999993</v>
      </c>
      <c r="K13" s="3">
        <v>0.18010000000000001</v>
      </c>
      <c r="L13" s="3">
        <v>0.1777</v>
      </c>
      <c r="N13" s="17">
        <v>44553</v>
      </c>
      <c r="O13" s="18">
        <v>485</v>
      </c>
      <c r="P13" s="19">
        <f>VLOOKUP(O13, 'Options Data'!C38:D43, 2, FALSE)</f>
        <v>14.95</v>
      </c>
      <c r="Q13" s="19">
        <f>(VLOOKUP(O13, 'Options Data'!C38:F43, 3, FALSE) + VLOOKUP(O13, 'Options Data'!C38:F43, 4, FALSE))/2</f>
        <v>10.75</v>
      </c>
      <c r="S13" s="3">
        <v>0.18609999999999999</v>
      </c>
    </row>
    <row r="14" spans="1:19">
      <c r="A14" s="10" t="s">
        <v>55</v>
      </c>
      <c r="B14" s="13">
        <f>S0*_xlfn.NORM.DIST(d_1,0,1,1)-K*EXP(-rfr*dt)*_xlfn.NORM.DIST(d_2,0,1,1)</f>
        <v>3.7492209996833594</v>
      </c>
      <c r="D14" s="13">
        <f>K*EXP(-rfr*dt)*_xlfn.NORM.DIST(-d_2,0,1,1)-S0*_xlfn.NORM.DIST(-d_1,0,1,1)</f>
        <v>15.510740303843477</v>
      </c>
      <c r="G14" s="17">
        <v>44553</v>
      </c>
      <c r="H14" s="18">
        <v>480</v>
      </c>
      <c r="I14" s="19">
        <f>VLOOKUP(H14, 'Options Data'!C28:D36, 2, FALSE)</f>
        <v>5.75</v>
      </c>
      <c r="J14" s="19">
        <f>(VLOOKUP(H14, 'Options Data'!C28:F36, 3, FALSE) +VLOOKUP(H14, 'Options Data'!C28:F36, 4, FALSE)) / 2</f>
        <v>6.2</v>
      </c>
      <c r="K14" s="3">
        <v>0.17630000000000001</v>
      </c>
      <c r="L14" s="3">
        <v>0.18820000000000001</v>
      </c>
      <c r="N14" s="17">
        <v>44553</v>
      </c>
      <c r="O14" s="18">
        <v>490</v>
      </c>
      <c r="P14" s="19">
        <f>VLOOKUP(O14, 'Options Data'!C39:D44, 2, FALSE)</f>
        <v>53</v>
      </c>
      <c r="Q14" s="19">
        <f>(VLOOKUP(O14, 'Options Data'!C39:F44, 3, FALSE) + VLOOKUP(O14, 'Options Data'!C39:F44, 4, FALSE))/2</f>
        <v>14.475</v>
      </c>
      <c r="S14" s="3">
        <v>0.20130000000000001</v>
      </c>
    </row>
    <row r="15" spans="1:19">
      <c r="A15" s="10"/>
      <c r="G15" s="17">
        <v>44553</v>
      </c>
      <c r="H15" s="18">
        <v>485</v>
      </c>
      <c r="I15" s="19">
        <f>VLOOKUP(H15, 'Options Data'!C29:D37, 2, FALSE)</f>
        <v>3.5</v>
      </c>
      <c r="J15" s="19">
        <f>(VLOOKUP(H15, 'Options Data'!C29:F37, 3, FALSE) +VLOOKUP(H15, 'Options Data'!C29:F37, 4, FALSE)) / 2</f>
        <v>3.9749999999999996</v>
      </c>
      <c r="K15" s="3">
        <v>0.17249999999999999</v>
      </c>
      <c r="L15" s="3">
        <v>0.186</v>
      </c>
    </row>
    <row r="16" spans="1:19">
      <c r="A16" s="10" t="s">
        <v>56</v>
      </c>
      <c r="B16" s="11">
        <f>_xlfn.NORM.DIST(d_1,0,1,1)</f>
        <v>0.41723044409805354</v>
      </c>
      <c r="D16" s="11">
        <f>_xlfn.NORM.DIST(d_1,0,1,1)-1</f>
        <v>-0.58276955590194646</v>
      </c>
      <c r="G16" s="17">
        <v>44553</v>
      </c>
      <c r="H16" s="18">
        <v>490</v>
      </c>
      <c r="I16" s="19">
        <f>VLOOKUP(H16, 'Options Data'!C30:D38, 2, FALSE)</f>
        <v>2.08</v>
      </c>
      <c r="J16" s="19">
        <f>(VLOOKUP(H16, 'Options Data'!C30:F38, 3, FALSE) +VLOOKUP(H16, 'Options Data'!C30:F38, 4, FALSE)) / 2</f>
        <v>2.39</v>
      </c>
      <c r="K16" s="3">
        <v>0.182</v>
      </c>
      <c r="L16" s="3">
        <v>0.1915</v>
      </c>
    </row>
    <row r="17" spans="1:19">
      <c r="A17" s="10" t="s">
        <v>57</v>
      </c>
      <c r="B17" s="11">
        <f>_xlfn.NORM.DIST(d_1,0,1,0)/(S0*sigma*SQRT(dt))</f>
        <v>1.7941162558836675E-2</v>
      </c>
      <c r="D17" s="11">
        <f>_xlfn.NORM.DIST(d_1,0,1,0)/(S0*sigma*SQRT(dt))</f>
        <v>1.7941162558836675E-2</v>
      </c>
    </row>
    <row r="18" spans="1:19">
      <c r="A18" s="10" t="s">
        <v>58</v>
      </c>
      <c r="B18" s="11">
        <f>-S0*_xlfn.NORM.DIST(d_1,0,1,0)*sigma/(2*SQRT(dt))-rfr*K*EXP(-rfr*dt)*_xlfn.NORM.DIST(d_2,0,1,1)</f>
        <v>-73.654727606926144</v>
      </c>
      <c r="D18" s="11">
        <f>-S0*_xlfn.NORM.DIST(d_1,0,1,0)*sigma/(2*SQRT(dt))+rfr*K*EXP(-rfr*dt)*_xlfn.NORM.DIST(-d_2,0,1,1)</f>
        <v>-73.507730151134894</v>
      </c>
      <c r="G18" s="17">
        <v>44561</v>
      </c>
      <c r="H18" s="18">
        <v>465</v>
      </c>
      <c r="I18" s="19">
        <f>VLOOKUP(H18, 'Options Data'!C45:D51, 2, FALSE)</f>
        <v>15.1</v>
      </c>
      <c r="J18" s="19">
        <f>(VLOOKUP(H18, 'Options Data'!C45:F51, 3, FALSE) + VLOOKUP(H18, 'Options Data'!C45:F51, 4, FALSE))/2</f>
        <v>17.925000000000001</v>
      </c>
      <c r="K18" s="3">
        <v>0.1588</v>
      </c>
      <c r="L18" s="3">
        <v>0.23019999999999999</v>
      </c>
      <c r="N18" s="17">
        <v>44561</v>
      </c>
      <c r="O18" s="18">
        <v>465</v>
      </c>
      <c r="P18" s="19">
        <f>VLOOKUP(O18, 'Options Data'!C54:D56, 2, FALSE)</f>
        <v>6.34</v>
      </c>
      <c r="Q18" s="19">
        <f>(VLOOKUP(O18, 'Options Data'!C54:F56, 3, FALSE) +VLOOKUP(O18, 'Options Data'!C54:F56, 4, FALSE))/2</f>
        <v>4.3</v>
      </c>
      <c r="R18" s="3">
        <v>0.26960000000000001</v>
      </c>
      <c r="S18" s="3">
        <v>0.2208</v>
      </c>
    </row>
    <row r="19" spans="1:19">
      <c r="A19" s="10" t="s">
        <v>59</v>
      </c>
      <c r="B19" s="11">
        <f>S0*SQRT(dt)*_xlfn.NORM.DIST(d_1,0,1,0)</f>
        <v>44.835508532191788</v>
      </c>
      <c r="D19" s="11">
        <f>S0*SQRT(dt)*_xlfn.NORM.DIST(d_1,0,1,0)</f>
        <v>44.835508532191788</v>
      </c>
      <c r="G19" s="17">
        <v>44561</v>
      </c>
      <c r="H19" s="18">
        <v>470</v>
      </c>
      <c r="I19" s="19">
        <f>VLOOKUP(H19, 'Options Data'!C46:D52, 2, FALSE)</f>
        <v>12.15</v>
      </c>
      <c r="J19" s="19">
        <f>(VLOOKUP(H19, 'Options Data'!C46:F52, 3, FALSE) + VLOOKUP(H19, 'Options Data'!C46:F52, 4, FALSE))/2</f>
        <v>14.225</v>
      </c>
      <c r="K19" s="3">
        <v>0.1661</v>
      </c>
      <c r="L19" s="3">
        <v>0.2142</v>
      </c>
      <c r="N19" s="17">
        <v>44561</v>
      </c>
      <c r="O19" s="18">
        <v>470</v>
      </c>
      <c r="P19" s="19">
        <f>VLOOKUP(O19, 'Options Data'!C55:D57, 2, FALSE)</f>
        <v>7.48</v>
      </c>
      <c r="Q19" s="19">
        <f>(VLOOKUP(O19, 'Options Data'!C55:F57, 3, FALSE) +VLOOKUP(O19, 'Options Data'!C55:F57, 4, FALSE))/2</f>
        <v>5.9250000000000007</v>
      </c>
      <c r="R19" s="3">
        <v>0.2482</v>
      </c>
      <c r="S19" s="3">
        <v>0.21279999999999999</v>
      </c>
    </row>
    <row r="20" spans="1:19">
      <c r="A20" s="10" t="s">
        <v>60</v>
      </c>
      <c r="B20" s="11">
        <f>K*dt*EXP(-rfr*dt)*_xlfn.NORM.DIST(d_2,0,1,1)</f>
        <v>11.295166977768968</v>
      </c>
      <c r="D20" s="11">
        <f>-K*dt*EXP(-rfr*dt)*_xlfn.NORM.DIST(-d_2,0,1,1)</f>
        <v>-16.97357452054796</v>
      </c>
      <c r="G20" s="17">
        <v>44561</v>
      </c>
      <c r="H20" s="18">
        <v>475</v>
      </c>
      <c r="I20" s="19">
        <f>VLOOKUP(H20, 'Options Data'!C47:D53, 2, FALSE)</f>
        <v>9.5</v>
      </c>
      <c r="J20" s="19">
        <f>(VLOOKUP(H20, 'Options Data'!C47:F53, 3, FALSE) + VLOOKUP(H20, 'Options Data'!C47:F53, 4, FALSE))/2</f>
        <v>10.975000000000001</v>
      </c>
      <c r="K20" s="3">
        <v>0.17119999999999999</v>
      </c>
      <c r="L20" s="3">
        <v>0.20369999999999999</v>
      </c>
      <c r="N20" s="17">
        <v>44561</v>
      </c>
      <c r="O20" s="18">
        <v>475</v>
      </c>
      <c r="P20" s="19">
        <f>VLOOKUP(O20, 'Options Data'!C56:D58, 2, FALSE)</f>
        <v>7.89</v>
      </c>
      <c r="Q20" s="19">
        <f>(VLOOKUP(O20, 'Options Data'!C56:F58, 3, FALSE) +VLOOKUP(O20, 'Options Data'!C56:F58, 4, FALSE))/2</f>
        <v>7.8249999999999993</v>
      </c>
      <c r="R20" s="3">
        <v>0.2069</v>
      </c>
      <c r="S20" s="3">
        <v>0.20549999999999999</v>
      </c>
    </row>
    <row r="21" spans="1:19">
      <c r="G21" s="17">
        <v>44561</v>
      </c>
      <c r="H21" s="18">
        <v>480</v>
      </c>
      <c r="I21" s="19">
        <f>VLOOKUP(H21, 'Options Data'!C48:D54, 2, FALSE)</f>
        <v>8.15</v>
      </c>
      <c r="J21" s="19">
        <f>(VLOOKUP(H21, 'Options Data'!C48:F54, 3, FALSE) + VLOOKUP(H21, 'Options Data'!C48:F54, 4, FALSE))/2</f>
        <v>8.1000000000000014</v>
      </c>
      <c r="K21" s="3">
        <v>0.19639999999999999</v>
      </c>
      <c r="L21" s="3">
        <v>0.19520000000000001</v>
      </c>
    </row>
    <row r="22" spans="1:19">
      <c r="G22" s="17">
        <v>44561</v>
      </c>
      <c r="H22" s="18">
        <v>485</v>
      </c>
      <c r="I22" s="19">
        <f>VLOOKUP(H22, 'Options Data'!C49:D55, 2, FALSE)</f>
        <v>5.58</v>
      </c>
      <c r="J22" s="19">
        <f>(VLOOKUP(H22, 'Options Data'!C49:F55, 3, FALSE) + VLOOKUP(H22, 'Options Data'!C49:F55, 4, FALSE))/2</f>
        <v>5.8249999999999993</v>
      </c>
      <c r="K22" s="3">
        <v>0.188</v>
      </c>
      <c r="L22" s="3">
        <v>0.19370000000000001</v>
      </c>
    </row>
    <row r="23" spans="1:19">
      <c r="G23" s="17">
        <v>44561</v>
      </c>
      <c r="H23" s="18">
        <v>490</v>
      </c>
      <c r="I23" s="19">
        <f>VLOOKUP(H23, 'Options Data'!C50:D56, 2, FALSE)</f>
        <v>3.88</v>
      </c>
      <c r="J23" s="19">
        <f>(VLOOKUP(H23, 'Options Data'!C50:F56, 3, FALSE) + VLOOKUP(H23, 'Options Data'!C50:F56, 4, FALSE))/2</f>
        <v>3.75</v>
      </c>
      <c r="K23" s="3">
        <v>0.19239999999999999</v>
      </c>
      <c r="L23" s="3">
        <v>0.18940000000000001</v>
      </c>
    </row>
    <row r="25" spans="1:19">
      <c r="G25" s="20"/>
      <c r="I25" s="39" t="s">
        <v>61</v>
      </c>
      <c r="J25" s="39"/>
      <c r="K25" s="39"/>
      <c r="N25" s="20"/>
      <c r="P25" s="40" t="s">
        <v>61</v>
      </c>
      <c r="Q25" s="40"/>
      <c r="R25" s="40"/>
    </row>
    <row r="26" spans="1:19">
      <c r="G26" s="38" t="s">
        <v>5</v>
      </c>
      <c r="H26" s="19"/>
      <c r="I26" s="16">
        <v>1.9230769230769232E-2</v>
      </c>
      <c r="J26" s="16">
        <v>3.8461538461538464E-2</v>
      </c>
      <c r="K26" s="16">
        <v>5.7692307692307696E-2</v>
      </c>
      <c r="N26" s="38" t="s">
        <v>5</v>
      </c>
      <c r="O26"/>
      <c r="P26" s="16">
        <v>0.02</v>
      </c>
      <c r="Q26" s="16">
        <v>0.04</v>
      </c>
      <c r="R26" s="16">
        <v>0.06</v>
      </c>
    </row>
    <row r="27" spans="1:19">
      <c r="G27" s="38"/>
      <c r="H27" s="19">
        <v>465</v>
      </c>
      <c r="I27" s="3">
        <f t="shared" ref="I27:I32" si="0">L4</f>
        <v>0.22850000000000001</v>
      </c>
      <c r="J27" s="3">
        <f t="shared" ref="J27:J32" si="1">L11</f>
        <v>0.2172</v>
      </c>
      <c r="K27" s="3">
        <f t="shared" ref="K27:K32" si="2">L18</f>
        <v>0.23019999999999999</v>
      </c>
      <c r="N27" s="38"/>
      <c r="O27" s="19">
        <v>465</v>
      </c>
      <c r="P27" s="3">
        <f>S4</f>
        <v>0.25800000000000001</v>
      </c>
      <c r="Q27" s="3">
        <f>S11</f>
        <v>0.24929999999999999</v>
      </c>
      <c r="R27" s="3">
        <f>S18</f>
        <v>0.2208</v>
      </c>
    </row>
    <row r="28" spans="1:19">
      <c r="G28" s="38"/>
      <c r="H28" s="19">
        <v>470</v>
      </c>
      <c r="I28" s="3">
        <f t="shared" si="0"/>
        <v>0.2235</v>
      </c>
      <c r="J28" s="3">
        <f t="shared" si="1"/>
        <v>0.2001</v>
      </c>
      <c r="K28" s="3">
        <f t="shared" si="2"/>
        <v>0.2142</v>
      </c>
      <c r="N28" s="38"/>
      <c r="O28" s="19">
        <v>470</v>
      </c>
      <c r="P28" s="3">
        <f>S5</f>
        <v>0.23250000000000001</v>
      </c>
      <c r="Q28" s="3">
        <f>S12</f>
        <v>0.2198</v>
      </c>
      <c r="R28" s="3">
        <f>S19</f>
        <v>0.21279999999999999</v>
      </c>
    </row>
    <row r="29" spans="1:19">
      <c r="G29" s="38"/>
      <c r="H29" s="19">
        <v>475</v>
      </c>
      <c r="I29" s="3">
        <f t="shared" si="0"/>
        <v>0.1983</v>
      </c>
      <c r="J29" s="3">
        <f t="shared" si="1"/>
        <v>0.1777</v>
      </c>
      <c r="K29" s="3">
        <f t="shared" si="2"/>
        <v>0.20369999999999999</v>
      </c>
      <c r="N29" s="38"/>
      <c r="O29" s="19">
        <v>475</v>
      </c>
      <c r="P29" s="3">
        <f>S6</f>
        <v>0.316</v>
      </c>
      <c r="Q29" s="3"/>
      <c r="R29" s="3">
        <f>S20</f>
        <v>0.20549999999999999</v>
      </c>
    </row>
    <row r="30" spans="1:19">
      <c r="G30" s="38"/>
      <c r="H30" s="19">
        <v>480</v>
      </c>
      <c r="I30" s="3">
        <f t="shared" si="0"/>
        <v>0.17080000000000001</v>
      </c>
      <c r="J30" s="3">
        <f t="shared" si="1"/>
        <v>0.18820000000000001</v>
      </c>
      <c r="K30" s="3">
        <f t="shared" si="2"/>
        <v>0.19520000000000001</v>
      </c>
      <c r="N30" s="38"/>
      <c r="O30" s="19">
        <v>480</v>
      </c>
      <c r="P30" s="3">
        <f>S7</f>
        <v>0.20050000000000001</v>
      </c>
      <c r="Q30" s="3"/>
    </row>
    <row r="31" spans="1:19">
      <c r="G31" s="38"/>
      <c r="H31" s="19">
        <v>485</v>
      </c>
      <c r="I31" s="3">
        <f t="shared" si="0"/>
        <v>0.17799999999999999</v>
      </c>
      <c r="J31" s="3">
        <f t="shared" si="1"/>
        <v>0.186</v>
      </c>
      <c r="K31" s="3">
        <f t="shared" si="2"/>
        <v>0.19370000000000001</v>
      </c>
      <c r="N31" s="38"/>
      <c r="O31" s="19">
        <v>485</v>
      </c>
      <c r="P31" s="3"/>
      <c r="Q31" s="3">
        <f>S13</f>
        <v>0.18609999999999999</v>
      </c>
    </row>
    <row r="32" spans="1:19">
      <c r="G32" s="38"/>
      <c r="H32" s="19">
        <v>490</v>
      </c>
      <c r="I32" s="3">
        <f t="shared" si="0"/>
        <v>0.19700000000000001</v>
      </c>
      <c r="J32" s="3">
        <f t="shared" si="1"/>
        <v>0.1915</v>
      </c>
      <c r="K32" s="3">
        <f t="shared" si="2"/>
        <v>0.18940000000000001</v>
      </c>
      <c r="N32" s="38"/>
      <c r="O32" s="19">
        <v>490</v>
      </c>
      <c r="P32" s="3">
        <f>S9</f>
        <v>0.24179999999999999</v>
      </c>
      <c r="Q32" s="3">
        <f>S14</f>
        <v>0.20130000000000001</v>
      </c>
    </row>
  </sheetData>
  <mergeCells count="4">
    <mergeCell ref="I25:K25"/>
    <mergeCell ref="P25:R25"/>
    <mergeCell ref="G26:G32"/>
    <mergeCell ref="N26:N32"/>
  </mergeCells>
  <pageMargins left="0.7" right="0.7" top="0.75" bottom="0.75" header="0.3" footer="0.3"/>
  <pageSetup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3C9D-715B-43F5-8512-041963FA1C0D}">
  <sheetPr>
    <tabColor rgb="FF00B050"/>
    <pageSetUpPr fitToPage="1"/>
  </sheetPr>
  <dimension ref="A1:L60"/>
  <sheetViews>
    <sheetView topLeftCell="H1" workbookViewId="0">
      <selection activeCell="L60" sqref="L60"/>
    </sheetView>
  </sheetViews>
  <sheetFormatPr defaultRowHeight="14.4"/>
  <cols>
    <col min="1" max="1" width="8.77734375" style="18"/>
    <col min="8" max="8" width="8.77734375" style="18"/>
  </cols>
  <sheetData>
    <row r="1" spans="1:12">
      <c r="A1" s="18" t="s">
        <v>64</v>
      </c>
      <c r="H1" s="18" t="s">
        <v>71</v>
      </c>
    </row>
    <row r="2" spans="1:12">
      <c r="A2" s="42" t="s">
        <v>132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2">
      <c r="A3" s="21"/>
      <c r="B3" s="21"/>
      <c r="C3" s="42" t="s">
        <v>61</v>
      </c>
      <c r="D3" s="42"/>
      <c r="E3" s="42"/>
      <c r="F3" s="21"/>
      <c r="G3" s="21"/>
      <c r="H3" s="21"/>
      <c r="I3" s="42" t="s">
        <v>61</v>
      </c>
      <c r="J3" s="42"/>
      <c r="K3" s="42"/>
    </row>
    <row r="4" spans="1:12" s="15" customFormat="1">
      <c r="C4" s="15">
        <v>1.9230769230769232E-2</v>
      </c>
      <c r="D4" s="15">
        <v>3.8461538461538464E-2</v>
      </c>
      <c r="E4" s="15">
        <v>5.7692307692307696E-2</v>
      </c>
      <c r="I4" s="15">
        <v>1.9230769230769232E-2</v>
      </c>
      <c r="J4" s="15">
        <v>3.8461538461538464E-2</v>
      </c>
      <c r="K4" s="15">
        <v>5.7692307692307696E-2</v>
      </c>
    </row>
    <row r="5" spans="1:12">
      <c r="A5" s="43" t="s">
        <v>5</v>
      </c>
      <c r="B5" s="18">
        <v>465</v>
      </c>
      <c r="C5" s="3">
        <v>0.1986</v>
      </c>
      <c r="D5" s="3">
        <v>0.2208</v>
      </c>
      <c r="E5" s="3">
        <v>0.23469999999999999</v>
      </c>
      <c r="G5" s="30" t="s">
        <v>5</v>
      </c>
      <c r="H5" s="18">
        <v>465</v>
      </c>
      <c r="I5" s="3">
        <v>0.22109999999999999</v>
      </c>
      <c r="J5" s="3">
        <v>0.26229999999999998</v>
      </c>
      <c r="K5" s="3">
        <v>0.21920000000000001</v>
      </c>
    </row>
    <row r="6" spans="1:12">
      <c r="A6" s="43"/>
      <c r="B6" s="18">
        <v>470</v>
      </c>
      <c r="C6" s="3">
        <v>0.24379999999999999</v>
      </c>
      <c r="D6" s="3">
        <v>0.20979999999999999</v>
      </c>
      <c r="E6" s="3">
        <v>0.22850000000000001</v>
      </c>
      <c r="G6" s="30"/>
      <c r="H6" s="18">
        <v>470</v>
      </c>
      <c r="I6" s="3">
        <v>0.2223</v>
      </c>
      <c r="J6" s="3">
        <v>0.2296</v>
      </c>
      <c r="K6" s="3">
        <v>0.22900000000000001</v>
      </c>
    </row>
    <row r="7" spans="1:12">
      <c r="A7" s="43"/>
      <c r="B7" s="18">
        <v>475</v>
      </c>
      <c r="C7" s="3">
        <v>0.21079999999999999</v>
      </c>
      <c r="D7" s="3">
        <v>0.1772</v>
      </c>
      <c r="E7" s="3">
        <v>0.2195</v>
      </c>
      <c r="G7" s="30"/>
      <c r="H7" s="18">
        <v>475</v>
      </c>
      <c r="I7" s="3">
        <v>0.311</v>
      </c>
      <c r="J7" s="3"/>
      <c r="K7" s="3">
        <v>0.21890000000000001</v>
      </c>
    </row>
    <row r="8" spans="1:12">
      <c r="A8" s="43"/>
      <c r="B8" s="18">
        <v>480</v>
      </c>
      <c r="C8" s="3">
        <v>0.16420000000000001</v>
      </c>
      <c r="D8" s="3">
        <v>0.20599999999999999</v>
      </c>
      <c r="E8" s="3">
        <v>0.2145</v>
      </c>
      <c r="G8" s="30"/>
      <c r="H8" s="18">
        <v>480</v>
      </c>
      <c r="I8" s="3">
        <v>0.20230000000000001</v>
      </c>
      <c r="J8" s="3"/>
      <c r="K8" s="3"/>
    </row>
    <row r="9" spans="1:12">
      <c r="A9" s="43"/>
      <c r="B9" s="18">
        <v>485</v>
      </c>
      <c r="C9" s="3">
        <v>0.16420000000000001</v>
      </c>
      <c r="D9" s="3">
        <v>0.19750000000000001</v>
      </c>
      <c r="E9" s="3">
        <v>0.2009</v>
      </c>
      <c r="G9" s="30"/>
      <c r="H9" s="18">
        <v>485</v>
      </c>
      <c r="I9" s="3"/>
      <c r="J9" s="3">
        <v>0.1981</v>
      </c>
      <c r="K9" s="3"/>
    </row>
    <row r="10" spans="1:12">
      <c r="A10" s="43"/>
      <c r="B10" s="18">
        <v>490</v>
      </c>
      <c r="C10" s="3">
        <v>0.16300000000000001</v>
      </c>
      <c r="D10" s="3">
        <v>0.19439999999999999</v>
      </c>
      <c r="E10" s="3">
        <v>0.19769999999999999</v>
      </c>
      <c r="G10" s="30"/>
      <c r="H10" s="18">
        <v>490</v>
      </c>
      <c r="I10" s="3">
        <v>0.25940000000000002</v>
      </c>
      <c r="J10" s="3">
        <v>0.23799999999999999</v>
      </c>
      <c r="K10" s="3"/>
    </row>
    <row r="11" spans="1:12">
      <c r="G11" s="18"/>
      <c r="H11"/>
    </row>
    <row r="12" spans="1:12">
      <c r="A12" s="42" t="s">
        <v>133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2">
      <c r="C13" s="37" t="s">
        <v>61</v>
      </c>
      <c r="D13" s="37"/>
      <c r="E13" s="37"/>
      <c r="I13" s="37" t="s">
        <v>61</v>
      </c>
      <c r="J13" s="37"/>
      <c r="K13" s="37"/>
      <c r="L13" s="23"/>
    </row>
    <row r="14" spans="1:12" s="15" customFormat="1">
      <c r="C14" s="15">
        <v>1.9230769230769232E-2</v>
      </c>
      <c r="D14" s="15">
        <v>3.8461538461538464E-2</v>
      </c>
      <c r="E14" s="15">
        <v>5.7692307692307696E-2</v>
      </c>
      <c r="I14" s="15">
        <v>1.9230769230769232E-2</v>
      </c>
      <c r="J14" s="15">
        <v>3.8461538461538464E-2</v>
      </c>
      <c r="K14" s="15">
        <v>5.7692307692307696E-2</v>
      </c>
    </row>
    <row r="15" spans="1:12">
      <c r="A15" s="43" t="s">
        <v>5</v>
      </c>
      <c r="B15" s="22">
        <v>465</v>
      </c>
      <c r="C15" s="3">
        <v>0.187</v>
      </c>
      <c r="D15" s="3">
        <v>0.20200000000000001</v>
      </c>
      <c r="E15" s="3">
        <v>0.21970000000000001</v>
      </c>
      <c r="G15" s="43" t="s">
        <v>5</v>
      </c>
      <c r="H15" s="22">
        <v>465</v>
      </c>
      <c r="I15" s="3">
        <v>0.2225</v>
      </c>
      <c r="J15" s="3">
        <v>0.23860000000000001</v>
      </c>
      <c r="K15" s="3">
        <v>0.21079999999999999</v>
      </c>
    </row>
    <row r="16" spans="1:12">
      <c r="A16" s="43"/>
      <c r="B16" s="22">
        <v>470</v>
      </c>
      <c r="C16" s="3">
        <v>0.214</v>
      </c>
      <c r="D16" s="3">
        <v>0.1908</v>
      </c>
      <c r="E16" s="3">
        <v>0.20530000000000001</v>
      </c>
      <c r="G16" s="43"/>
      <c r="H16" s="22">
        <v>470</v>
      </c>
      <c r="I16" s="3">
        <v>0.222</v>
      </c>
      <c r="J16" s="3">
        <v>0.20949999999999999</v>
      </c>
      <c r="K16" s="3">
        <v>0.20399999999999999</v>
      </c>
    </row>
    <row r="17" spans="1:11">
      <c r="A17" s="43"/>
      <c r="B17" s="22">
        <v>475</v>
      </c>
      <c r="C17" s="3">
        <v>0.192</v>
      </c>
      <c r="D17" s="3">
        <v>0.1736</v>
      </c>
      <c r="E17" s="3">
        <v>0.20130000000000001</v>
      </c>
      <c r="G17" s="43"/>
      <c r="H17" s="22">
        <v>475</v>
      </c>
      <c r="I17" s="3">
        <v>0.311</v>
      </c>
      <c r="J17" s="3"/>
      <c r="K17" s="3">
        <v>0.20330000000000001</v>
      </c>
    </row>
    <row r="18" spans="1:11">
      <c r="A18" s="43"/>
      <c r="B18" s="22">
        <v>480</v>
      </c>
      <c r="C18" s="3">
        <v>0.16800000000000001</v>
      </c>
      <c r="D18" s="3">
        <v>0.18790000000000001</v>
      </c>
      <c r="E18" s="3">
        <v>0.1958</v>
      </c>
      <c r="G18" s="43"/>
      <c r="H18" s="22">
        <v>480</v>
      </c>
      <c r="I18" s="3">
        <v>0.19850000000000001</v>
      </c>
      <c r="J18" s="3"/>
      <c r="K18" s="3"/>
    </row>
    <row r="19" spans="1:11">
      <c r="A19" s="43"/>
      <c r="B19" s="22">
        <v>485</v>
      </c>
      <c r="C19" s="3">
        <v>0.17050000000000001</v>
      </c>
      <c r="D19" s="3">
        <v>0.17780000000000001</v>
      </c>
      <c r="E19" s="3">
        <v>0.1862</v>
      </c>
      <c r="G19" s="43"/>
      <c r="H19" s="22">
        <v>485</v>
      </c>
      <c r="I19" s="3"/>
      <c r="J19" s="3">
        <v>0.17780000000000001</v>
      </c>
      <c r="K19" s="3"/>
    </row>
    <row r="20" spans="1:11">
      <c r="A20" s="43"/>
      <c r="B20" s="22">
        <v>490</v>
      </c>
      <c r="C20" s="3">
        <v>0.161</v>
      </c>
      <c r="D20" s="3">
        <v>0.17899999999999999</v>
      </c>
      <c r="E20" s="3">
        <v>0.18099999999999999</v>
      </c>
      <c r="G20" s="43"/>
      <c r="H20" s="22">
        <v>490</v>
      </c>
      <c r="I20" s="3">
        <v>0.2155</v>
      </c>
      <c r="J20" s="3">
        <v>0.19239999999999999</v>
      </c>
      <c r="K20" s="3"/>
    </row>
    <row r="22" spans="1:11">
      <c r="A22" s="42" t="s">
        <v>134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1">
      <c r="C23" s="37" t="s">
        <v>61</v>
      </c>
      <c r="D23" s="37"/>
      <c r="E23" s="37"/>
      <c r="I23" s="37" t="s">
        <v>61</v>
      </c>
      <c r="J23" s="37"/>
      <c r="K23" s="37"/>
    </row>
    <row r="24" spans="1:11">
      <c r="A24" s="15"/>
      <c r="B24" s="15"/>
      <c r="C24" s="15">
        <v>1.9230769230769232E-2</v>
      </c>
      <c r="D24" s="15">
        <v>3.8461538461538464E-2</v>
      </c>
      <c r="E24" s="15">
        <v>5.7692307692307696E-2</v>
      </c>
      <c r="F24" s="15"/>
      <c r="G24" s="15"/>
      <c r="H24" s="15"/>
      <c r="I24" s="15">
        <v>1.9230769230769232E-2</v>
      </c>
      <c r="J24" s="15">
        <v>3.8461538461538464E-2</v>
      </c>
      <c r="K24" s="15">
        <v>5.7692307692307696E-2</v>
      </c>
    </row>
    <row r="25" spans="1:11">
      <c r="A25" s="43" t="s">
        <v>5</v>
      </c>
      <c r="B25" s="22">
        <v>465</v>
      </c>
      <c r="C25" s="3">
        <v>0.22850000000000001</v>
      </c>
      <c r="D25" s="3">
        <v>0.2172</v>
      </c>
      <c r="E25" s="3">
        <v>0.23019999999999999</v>
      </c>
      <c r="G25" s="43" t="s">
        <v>5</v>
      </c>
      <c r="H25" s="22">
        <v>465</v>
      </c>
      <c r="I25" s="3">
        <v>0.25800000000000001</v>
      </c>
      <c r="J25" s="3">
        <v>0.24929999999999999</v>
      </c>
      <c r="K25" s="3">
        <v>0.2208</v>
      </c>
    </row>
    <row r="26" spans="1:11">
      <c r="A26" s="43"/>
      <c r="B26" s="22">
        <v>470</v>
      </c>
      <c r="C26" s="3">
        <v>0.2235</v>
      </c>
      <c r="D26" s="3">
        <v>0.2001</v>
      </c>
      <c r="E26" s="3">
        <v>0.2142</v>
      </c>
      <c r="G26" s="43"/>
      <c r="H26" s="22">
        <v>470</v>
      </c>
      <c r="I26" s="3">
        <v>0.23250000000000001</v>
      </c>
      <c r="J26" s="3">
        <v>0.2198</v>
      </c>
      <c r="K26" s="3">
        <v>0.21279999999999999</v>
      </c>
    </row>
    <row r="27" spans="1:11">
      <c r="A27" s="43"/>
      <c r="B27" s="22">
        <v>475</v>
      </c>
      <c r="C27" s="3">
        <v>0.1983</v>
      </c>
      <c r="D27" s="3">
        <v>0.1777</v>
      </c>
      <c r="E27" s="3">
        <v>0.20369999999999999</v>
      </c>
      <c r="G27" s="43"/>
      <c r="H27" s="22">
        <v>475</v>
      </c>
      <c r="I27" s="3">
        <v>0.316</v>
      </c>
      <c r="J27" s="3"/>
      <c r="K27" s="3">
        <v>0.20549999999999999</v>
      </c>
    </row>
    <row r="28" spans="1:11">
      <c r="A28" s="43"/>
      <c r="B28" s="22">
        <v>480</v>
      </c>
      <c r="C28" s="3">
        <v>0.17080000000000001</v>
      </c>
      <c r="D28" s="3">
        <v>0.18820000000000001</v>
      </c>
      <c r="E28" s="3">
        <v>0.19520000000000001</v>
      </c>
      <c r="G28" s="43"/>
      <c r="H28" s="22">
        <v>480</v>
      </c>
      <c r="I28" s="3">
        <v>0.20050000000000001</v>
      </c>
      <c r="J28" s="3"/>
      <c r="K28" s="3"/>
    </row>
    <row r="29" spans="1:11">
      <c r="A29" s="43"/>
      <c r="B29" s="22">
        <v>485</v>
      </c>
      <c r="C29" s="3">
        <v>0.17799999999999999</v>
      </c>
      <c r="D29" s="3">
        <v>0.186</v>
      </c>
      <c r="E29" s="3">
        <v>0.19370000000000001</v>
      </c>
      <c r="G29" s="43"/>
      <c r="H29" s="22">
        <v>485</v>
      </c>
      <c r="I29" s="3"/>
      <c r="J29" s="3">
        <v>0.18609999999999999</v>
      </c>
      <c r="K29" s="3"/>
    </row>
    <row r="30" spans="1:11">
      <c r="A30" s="43"/>
      <c r="B30" s="22">
        <v>490</v>
      </c>
      <c r="C30" s="3">
        <v>0.19700000000000001</v>
      </c>
      <c r="D30" s="3">
        <v>0.1915</v>
      </c>
      <c r="E30" s="3">
        <v>0.18940000000000001</v>
      </c>
      <c r="G30" s="43"/>
      <c r="H30" s="22">
        <v>490</v>
      </c>
      <c r="I30" s="3">
        <v>0.24179999999999999</v>
      </c>
      <c r="J30" s="3">
        <v>0.20130000000000001</v>
      </c>
      <c r="K30" s="3"/>
    </row>
    <row r="32" spans="1:11">
      <c r="A32" s="42" t="s">
        <v>196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>
      <c r="C33" s="37" t="s">
        <v>61</v>
      </c>
      <c r="D33" s="37"/>
      <c r="E33" s="37"/>
      <c r="I33" s="37" t="s">
        <v>61</v>
      </c>
      <c r="J33" s="37"/>
      <c r="K33" s="37"/>
    </row>
    <row r="34" spans="1:11">
      <c r="A34" s="15"/>
      <c r="B34" s="15"/>
      <c r="C34" s="15">
        <v>1.9230769230769232E-2</v>
      </c>
      <c r="D34" s="15">
        <v>3.8461538461538464E-2</v>
      </c>
      <c r="E34" s="15">
        <v>5.7692307692307696E-2</v>
      </c>
      <c r="F34" s="15"/>
      <c r="G34" s="15"/>
      <c r="H34" s="15"/>
      <c r="I34" s="15">
        <v>1.9230769230769232E-2</v>
      </c>
      <c r="J34" s="15">
        <v>3.8461538461538464E-2</v>
      </c>
      <c r="K34" s="15">
        <v>5.7692307692307696E-2</v>
      </c>
    </row>
    <row r="35" spans="1:11">
      <c r="A35" s="43" t="s">
        <v>5</v>
      </c>
      <c r="B35" s="22">
        <v>465</v>
      </c>
      <c r="C35" s="3">
        <f>C15 - C5</f>
        <v>-1.1599999999999999E-2</v>
      </c>
      <c r="D35" s="3">
        <f t="shared" ref="D35:E35" si="0">D15 - D5</f>
        <v>-1.8799999999999983E-2</v>
      </c>
      <c r="E35" s="3">
        <f t="shared" si="0"/>
        <v>-1.4999999999999986E-2</v>
      </c>
      <c r="G35" s="43" t="s">
        <v>5</v>
      </c>
      <c r="H35" s="22">
        <v>465</v>
      </c>
      <c r="I35" s="3">
        <f>I15 - I5</f>
        <v>1.4000000000000123E-3</v>
      </c>
      <c r="J35" s="3">
        <f t="shared" ref="J35:K35" si="1">J15 - J5</f>
        <v>-2.3699999999999971E-2</v>
      </c>
      <c r="K35" s="3">
        <f t="shared" si="1"/>
        <v>-8.4000000000000186E-3</v>
      </c>
    </row>
    <row r="36" spans="1:11">
      <c r="A36" s="43"/>
      <c r="B36" s="22">
        <v>470</v>
      </c>
      <c r="C36" s="3">
        <f t="shared" ref="C36:E40" si="2">C16 - C6</f>
        <v>-2.9799999999999993E-2</v>
      </c>
      <c r="D36" s="3">
        <f t="shared" si="2"/>
        <v>-1.8999999999999989E-2</v>
      </c>
      <c r="E36" s="3">
        <f t="shared" si="2"/>
        <v>-2.3199999999999998E-2</v>
      </c>
      <c r="G36" s="43"/>
      <c r="H36" s="22">
        <v>470</v>
      </c>
      <c r="I36" s="3">
        <f t="shared" ref="I36:K40" si="3">I16 - I6</f>
        <v>-2.9999999999999472E-4</v>
      </c>
      <c r="J36" s="3">
        <f t="shared" si="3"/>
        <v>-2.0100000000000007E-2</v>
      </c>
      <c r="K36" s="3">
        <f t="shared" si="3"/>
        <v>-2.5000000000000022E-2</v>
      </c>
    </row>
    <row r="37" spans="1:11">
      <c r="A37" s="43"/>
      <c r="B37" s="22">
        <v>475</v>
      </c>
      <c r="C37" s="3">
        <f t="shared" si="2"/>
        <v>-1.8799999999999983E-2</v>
      </c>
      <c r="D37" s="3">
        <f t="shared" si="2"/>
        <v>-3.5999999999999921E-3</v>
      </c>
      <c r="E37" s="3">
        <f t="shared" si="2"/>
        <v>-1.8199999999999994E-2</v>
      </c>
      <c r="G37" s="43"/>
      <c r="H37" s="22">
        <v>475</v>
      </c>
      <c r="I37" s="3">
        <f t="shared" si="3"/>
        <v>0</v>
      </c>
      <c r="J37" s="3"/>
      <c r="K37" s="3">
        <f t="shared" si="3"/>
        <v>-1.5600000000000003E-2</v>
      </c>
    </row>
    <row r="38" spans="1:11">
      <c r="A38" s="43"/>
      <c r="B38" s="22">
        <v>480</v>
      </c>
      <c r="C38" s="3">
        <f t="shared" si="2"/>
        <v>3.7999999999999978E-3</v>
      </c>
      <c r="D38" s="3">
        <f t="shared" ref="D38:E38" si="4">D18 - D8</f>
        <v>-1.8099999999999977E-2</v>
      </c>
      <c r="E38" s="3">
        <f t="shared" si="4"/>
        <v>-1.8699999999999994E-2</v>
      </c>
      <c r="G38" s="43"/>
      <c r="H38" s="22">
        <v>480</v>
      </c>
      <c r="I38" s="3">
        <f t="shared" si="3"/>
        <v>-3.7999999999999978E-3</v>
      </c>
      <c r="J38" s="3"/>
      <c r="K38" s="3"/>
    </row>
    <row r="39" spans="1:11">
      <c r="A39" s="43"/>
      <c r="B39" s="22">
        <v>485</v>
      </c>
      <c r="C39" s="3">
        <f t="shared" si="2"/>
        <v>6.3E-3</v>
      </c>
      <c r="D39" s="3">
        <f t="shared" ref="D39:E39" si="5">D19 - D9</f>
        <v>-1.9699999999999995E-2</v>
      </c>
      <c r="E39" s="3">
        <f t="shared" si="5"/>
        <v>-1.4699999999999991E-2</v>
      </c>
      <c r="G39" s="43"/>
      <c r="H39" s="22">
        <v>485</v>
      </c>
      <c r="I39" s="3"/>
      <c r="J39" s="3">
        <f t="shared" si="3"/>
        <v>-2.0299999999999985E-2</v>
      </c>
      <c r="K39" s="3"/>
    </row>
    <row r="40" spans="1:11">
      <c r="A40" s="43"/>
      <c r="B40" s="22">
        <v>490</v>
      </c>
      <c r="C40" s="3">
        <f t="shared" si="2"/>
        <v>-2.0000000000000018E-3</v>
      </c>
      <c r="D40" s="3">
        <f t="shared" ref="D40:E40" si="6">D20 - D10</f>
        <v>-1.5399999999999997E-2</v>
      </c>
      <c r="E40" s="3">
        <f t="shared" si="6"/>
        <v>-1.6699999999999993E-2</v>
      </c>
      <c r="G40" s="43"/>
      <c r="H40" s="22">
        <v>490</v>
      </c>
      <c r="I40" s="3">
        <f t="shared" si="3"/>
        <v>-4.3900000000000022E-2</v>
      </c>
      <c r="J40" s="3">
        <f t="shared" si="3"/>
        <v>-4.5600000000000002E-2</v>
      </c>
      <c r="K40" s="3"/>
    </row>
    <row r="42" spans="1:11">
      <c r="A42" s="42" t="s">
        <v>197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>
      <c r="C43" s="37" t="s">
        <v>61</v>
      </c>
      <c r="D43" s="37"/>
      <c r="E43" s="37"/>
      <c r="I43" s="37" t="s">
        <v>61</v>
      </c>
      <c r="J43" s="37"/>
      <c r="K43" s="37"/>
    </row>
    <row r="44" spans="1:11">
      <c r="A44" s="15"/>
      <c r="B44" s="15"/>
      <c r="C44" s="15">
        <v>1.9230769230769232E-2</v>
      </c>
      <c r="D44" s="15">
        <v>3.8461538461538464E-2</v>
      </c>
      <c r="E44" s="15">
        <v>5.7692307692307696E-2</v>
      </c>
      <c r="F44" s="15"/>
      <c r="G44" s="15"/>
      <c r="H44" s="15"/>
      <c r="I44" s="15">
        <v>1.9230769230769232E-2</v>
      </c>
      <c r="J44" s="15">
        <v>3.8461538461538464E-2</v>
      </c>
      <c r="K44" s="15">
        <v>5.7692307692307696E-2</v>
      </c>
    </row>
    <row r="45" spans="1:11">
      <c r="A45" s="43" t="s">
        <v>5</v>
      </c>
      <c r="B45" s="22">
        <v>465</v>
      </c>
      <c r="C45" s="3">
        <f>C25 - C5</f>
        <v>2.990000000000001E-2</v>
      </c>
      <c r="D45" s="3">
        <f t="shared" ref="D45:E45" si="7">D25 - D5</f>
        <v>-3.5999999999999921E-3</v>
      </c>
      <c r="E45" s="3">
        <f t="shared" si="7"/>
        <v>-4.500000000000004E-3</v>
      </c>
      <c r="G45" s="43" t="s">
        <v>5</v>
      </c>
      <c r="H45" s="22">
        <v>465</v>
      </c>
      <c r="I45" s="3">
        <f>I25 - I5</f>
        <v>3.6900000000000016E-2</v>
      </c>
      <c r="J45" s="3">
        <f t="shared" ref="J45:K45" si="8">J25 - J5</f>
        <v>-1.2999999999999984E-2</v>
      </c>
      <c r="K45" s="3">
        <f t="shared" si="8"/>
        <v>1.5999999999999903E-3</v>
      </c>
    </row>
    <row r="46" spans="1:11">
      <c r="A46" s="43"/>
      <c r="B46" s="22">
        <v>470</v>
      </c>
      <c r="C46" s="3">
        <f t="shared" ref="C46:E50" si="9">C26 - C6</f>
        <v>-2.0299999999999985E-2</v>
      </c>
      <c r="D46" s="3">
        <f t="shared" si="9"/>
        <v>-9.6999999999999864E-3</v>
      </c>
      <c r="E46" s="3">
        <f t="shared" si="9"/>
        <v>-1.4300000000000007E-2</v>
      </c>
      <c r="G46" s="43"/>
      <c r="H46" s="22">
        <v>470</v>
      </c>
      <c r="I46" s="3">
        <f t="shared" ref="I46:K50" si="10">I26 - I6</f>
        <v>1.0200000000000015E-2</v>
      </c>
      <c r="J46" s="3">
        <f t="shared" si="10"/>
        <v>-9.8000000000000032E-3</v>
      </c>
      <c r="K46" s="3">
        <f t="shared" si="10"/>
        <v>-1.620000000000002E-2</v>
      </c>
    </row>
    <row r="47" spans="1:11">
      <c r="A47" s="43"/>
      <c r="B47" s="22">
        <v>475</v>
      </c>
      <c r="C47" s="3">
        <f t="shared" si="9"/>
        <v>-1.2499999999999983E-2</v>
      </c>
      <c r="D47" s="3">
        <f t="shared" si="9"/>
        <v>5.0000000000000044E-4</v>
      </c>
      <c r="E47" s="3">
        <f t="shared" si="9"/>
        <v>-1.5800000000000008E-2</v>
      </c>
      <c r="G47" s="43"/>
      <c r="H47" s="22">
        <v>475</v>
      </c>
      <c r="I47" s="3">
        <f t="shared" si="10"/>
        <v>5.0000000000000044E-3</v>
      </c>
      <c r="J47" s="3"/>
      <c r="K47" s="3">
        <f t="shared" si="10"/>
        <v>-1.3400000000000023E-2</v>
      </c>
    </row>
    <row r="48" spans="1:11">
      <c r="A48" s="43"/>
      <c r="B48" s="22">
        <v>480</v>
      </c>
      <c r="C48" s="3">
        <f t="shared" si="9"/>
        <v>6.5999999999999948E-3</v>
      </c>
      <c r="D48" s="3">
        <f t="shared" si="9"/>
        <v>-1.7799999999999983E-2</v>
      </c>
      <c r="E48" s="3">
        <f t="shared" si="9"/>
        <v>-1.9299999999999984E-2</v>
      </c>
      <c r="G48" s="43"/>
      <c r="H48" s="22">
        <v>480</v>
      </c>
      <c r="I48" s="3">
        <f t="shared" si="10"/>
        <v>-1.799999999999996E-3</v>
      </c>
      <c r="J48" s="3"/>
      <c r="K48" s="3"/>
    </row>
    <row r="49" spans="1:11">
      <c r="A49" s="43"/>
      <c r="B49" s="22">
        <v>485</v>
      </c>
      <c r="C49" s="3">
        <f t="shared" si="9"/>
        <v>1.3799999999999979E-2</v>
      </c>
      <c r="D49" s="3">
        <f t="shared" si="9"/>
        <v>-1.150000000000001E-2</v>
      </c>
      <c r="E49" s="3">
        <f t="shared" si="9"/>
        <v>-7.1999999999999842E-3</v>
      </c>
      <c r="G49" s="43"/>
      <c r="H49" s="22">
        <v>485</v>
      </c>
      <c r="I49" s="3"/>
      <c r="J49" s="3">
        <f t="shared" si="10"/>
        <v>-1.2000000000000011E-2</v>
      </c>
      <c r="K49" s="3"/>
    </row>
    <row r="50" spans="1:11">
      <c r="A50" s="43"/>
      <c r="B50" s="22">
        <v>490</v>
      </c>
      <c r="C50" s="3">
        <f t="shared" si="9"/>
        <v>3.4000000000000002E-2</v>
      </c>
      <c r="D50" s="3">
        <f t="shared" si="9"/>
        <v>-2.8999999999999859E-3</v>
      </c>
      <c r="E50" s="3">
        <f t="shared" si="9"/>
        <v>-8.2999999999999741E-3</v>
      </c>
      <c r="G50" s="43"/>
      <c r="H50" s="22">
        <v>490</v>
      </c>
      <c r="I50" s="3">
        <f t="shared" si="10"/>
        <v>-1.7600000000000032E-2</v>
      </c>
      <c r="J50" s="3">
        <f t="shared" si="10"/>
        <v>-3.6699999999999983E-2</v>
      </c>
      <c r="K50" s="3"/>
    </row>
    <row r="52" spans="1:11">
      <c r="A52" s="42" t="s">
        <v>222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>
      <c r="C53" s="37" t="s">
        <v>61</v>
      </c>
      <c r="D53" s="37"/>
      <c r="E53" s="37"/>
      <c r="I53" s="37" t="s">
        <v>61</v>
      </c>
      <c r="J53" s="37"/>
      <c r="K53" s="37"/>
    </row>
    <row r="54" spans="1:11">
      <c r="A54" s="15"/>
      <c r="B54" s="15"/>
      <c r="C54" s="15">
        <v>1.9230769230769232E-2</v>
      </c>
      <c r="D54" s="15">
        <v>3.8461538461538464E-2</v>
      </c>
      <c r="E54" s="15">
        <v>5.7692307692307696E-2</v>
      </c>
      <c r="F54" s="15"/>
      <c r="G54" s="15"/>
      <c r="H54" s="15"/>
      <c r="I54" s="15">
        <v>1.9230769230769232E-2</v>
      </c>
      <c r="J54" s="15">
        <v>3.8461538461538464E-2</v>
      </c>
      <c r="K54" s="15">
        <v>5.7692307692307696E-2</v>
      </c>
    </row>
    <row r="55" spans="1:11">
      <c r="A55" s="43" t="s">
        <v>5</v>
      </c>
      <c r="B55" s="22">
        <v>465</v>
      </c>
      <c r="C55" s="3">
        <f>C15 - C25</f>
        <v>-4.1500000000000009E-2</v>
      </c>
      <c r="D55" s="3">
        <f t="shared" ref="D55:E55" si="11">D15 - D25</f>
        <v>-1.5199999999999991E-2</v>
      </c>
      <c r="E55" s="3">
        <f t="shared" si="11"/>
        <v>-1.0499999999999982E-2</v>
      </c>
      <c r="G55" s="43" t="s">
        <v>5</v>
      </c>
      <c r="H55" s="22">
        <v>465</v>
      </c>
      <c r="I55" s="3">
        <f>I15 - I25</f>
        <v>-3.5500000000000004E-2</v>
      </c>
      <c r="J55" s="3">
        <f t="shared" ref="J55:K55" si="12">J15 - J25</f>
        <v>-1.0699999999999987E-2</v>
      </c>
      <c r="K55" s="3">
        <f t="shared" si="12"/>
        <v>-1.0000000000000009E-2</v>
      </c>
    </row>
    <row r="56" spans="1:11">
      <c r="A56" s="43"/>
      <c r="B56" s="22">
        <v>470</v>
      </c>
      <c r="C56" s="3">
        <f t="shared" ref="C56:E60" si="13">C16 - C26</f>
        <v>-9.5000000000000084E-3</v>
      </c>
      <c r="D56" s="3">
        <f t="shared" si="13"/>
        <v>-9.3000000000000027E-3</v>
      </c>
      <c r="E56" s="3">
        <f t="shared" si="13"/>
        <v>-8.8999999999999913E-3</v>
      </c>
      <c r="G56" s="43"/>
      <c r="H56" s="22">
        <v>470</v>
      </c>
      <c r="I56" s="3">
        <f t="shared" ref="I56:K60" si="14">I16 - I26</f>
        <v>-1.0500000000000009E-2</v>
      </c>
      <c r="J56" s="3">
        <f t="shared" si="14"/>
        <v>-1.0300000000000004E-2</v>
      </c>
      <c r="K56" s="3">
        <f t="shared" si="14"/>
        <v>-8.8000000000000023E-3</v>
      </c>
    </row>
    <row r="57" spans="1:11">
      <c r="A57" s="43"/>
      <c r="B57" s="22">
        <v>475</v>
      </c>
      <c r="C57" s="3">
        <f t="shared" si="13"/>
        <v>-6.3E-3</v>
      </c>
      <c r="D57" s="3">
        <f t="shared" si="13"/>
        <v>-4.0999999999999925E-3</v>
      </c>
      <c r="E57" s="3">
        <f t="shared" si="13"/>
        <v>-2.3999999999999855E-3</v>
      </c>
      <c r="G57" s="43"/>
      <c r="H57" s="22">
        <v>475</v>
      </c>
      <c r="I57" s="3">
        <f t="shared" si="14"/>
        <v>-5.0000000000000044E-3</v>
      </c>
      <c r="J57" s="3"/>
      <c r="K57" s="3">
        <f t="shared" si="14"/>
        <v>-2.1999999999999797E-3</v>
      </c>
    </row>
    <row r="58" spans="1:11">
      <c r="A58" s="43"/>
      <c r="B58" s="22">
        <v>480</v>
      </c>
      <c r="C58" s="3">
        <f t="shared" si="13"/>
        <v>-2.7999999999999969E-3</v>
      </c>
      <c r="D58" s="3">
        <f t="shared" si="13"/>
        <v>-2.9999999999999472E-4</v>
      </c>
      <c r="E58" s="3">
        <f t="shared" si="13"/>
        <v>5.9999999999998943E-4</v>
      </c>
      <c r="G58" s="43"/>
      <c r="H58" s="22">
        <v>480</v>
      </c>
      <c r="I58" s="3">
        <f t="shared" si="14"/>
        <v>-2.0000000000000018E-3</v>
      </c>
      <c r="J58" s="3"/>
      <c r="K58" s="3"/>
    </row>
    <row r="59" spans="1:11">
      <c r="A59" s="43"/>
      <c r="B59" s="22">
        <v>485</v>
      </c>
      <c r="C59" s="3">
        <f t="shared" si="13"/>
        <v>-7.4999999999999789E-3</v>
      </c>
      <c r="D59" s="3">
        <f t="shared" si="13"/>
        <v>-8.1999999999999851E-3</v>
      </c>
      <c r="E59" s="3">
        <f t="shared" si="13"/>
        <v>-7.5000000000000067E-3</v>
      </c>
      <c r="G59" s="43"/>
      <c r="H59" s="22">
        <v>485</v>
      </c>
      <c r="I59" s="3"/>
      <c r="J59" s="3">
        <f t="shared" si="14"/>
        <v>-8.2999999999999741E-3</v>
      </c>
      <c r="K59" s="3"/>
    </row>
    <row r="60" spans="1:11">
      <c r="A60" s="43"/>
      <c r="B60" s="22">
        <v>490</v>
      </c>
      <c r="C60" s="3">
        <f t="shared" si="13"/>
        <v>-3.6000000000000004E-2</v>
      </c>
      <c r="D60" s="3">
        <f t="shared" si="13"/>
        <v>-1.2500000000000011E-2</v>
      </c>
      <c r="E60" s="3">
        <f t="shared" si="13"/>
        <v>-8.4000000000000186E-3</v>
      </c>
      <c r="G60" s="43"/>
      <c r="H60" s="22">
        <v>490</v>
      </c>
      <c r="I60" s="3">
        <f t="shared" si="14"/>
        <v>-2.629999999999999E-2</v>
      </c>
      <c r="J60" s="3">
        <f t="shared" si="14"/>
        <v>-8.900000000000019E-3</v>
      </c>
      <c r="K60" s="3"/>
    </row>
  </sheetData>
  <mergeCells count="30">
    <mergeCell ref="A55:A60"/>
    <mergeCell ref="G55:G60"/>
    <mergeCell ref="C43:E43"/>
    <mergeCell ref="I43:K43"/>
    <mergeCell ref="A45:A50"/>
    <mergeCell ref="G45:G50"/>
    <mergeCell ref="A52:K52"/>
    <mergeCell ref="C53:E53"/>
    <mergeCell ref="I53:K53"/>
    <mergeCell ref="A2:K2"/>
    <mergeCell ref="A42:K42"/>
    <mergeCell ref="A22:K22"/>
    <mergeCell ref="I13:K13"/>
    <mergeCell ref="C23:E23"/>
    <mergeCell ref="I23:K23"/>
    <mergeCell ref="A25:A30"/>
    <mergeCell ref="G25:G30"/>
    <mergeCell ref="A15:A20"/>
    <mergeCell ref="G15:G20"/>
    <mergeCell ref="C13:E13"/>
    <mergeCell ref="A32:K32"/>
    <mergeCell ref="C33:E33"/>
    <mergeCell ref="I33:K33"/>
    <mergeCell ref="A35:A40"/>
    <mergeCell ref="G35:G40"/>
    <mergeCell ref="A12:K12"/>
    <mergeCell ref="C3:E3"/>
    <mergeCell ref="I3:K3"/>
    <mergeCell ref="A5:A10"/>
    <mergeCell ref="G5:G10"/>
  </mergeCells>
  <conditionalFormatting sqref="C35:E40 I35:K40 C45:E50 I45:K50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C55:E60 I55:K60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scale="3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D2CC-BA5E-4BC0-A79B-2C9FAA7C83B5}">
  <sheetPr>
    <tabColor rgb="FF00B0F0"/>
    <pageSetUpPr fitToPage="1"/>
  </sheetPr>
  <dimension ref="A1:K71"/>
  <sheetViews>
    <sheetView workbookViewId="0">
      <selection activeCell="J36" sqref="J36"/>
    </sheetView>
  </sheetViews>
  <sheetFormatPr defaultRowHeight="14.4"/>
  <cols>
    <col min="1" max="1" width="16.6640625" bestFit="1" customWidth="1"/>
    <col min="2" max="2" width="10.44140625" bestFit="1" customWidth="1"/>
    <col min="4" max="4" width="14" bestFit="1" customWidth="1"/>
    <col min="5" max="5" width="11.77734375" style="15" bestFit="1" customWidth="1"/>
    <col min="7" max="7" width="16.6640625" bestFit="1" customWidth="1"/>
    <col min="8" max="8" width="10.44140625" bestFit="1" customWidth="1"/>
    <col min="10" max="10" width="15.77734375" bestFit="1" customWidth="1"/>
  </cols>
  <sheetData>
    <row r="1" spans="1:11">
      <c r="A1" t="s">
        <v>45</v>
      </c>
      <c r="B1" s="16">
        <f>30/52</f>
        <v>0.57692307692307687</v>
      </c>
      <c r="D1" t="s">
        <v>119</v>
      </c>
      <c r="E1" s="15">
        <f>B1/B5</f>
        <v>5.7692307692307689E-2</v>
      </c>
      <c r="G1" t="s">
        <v>137</v>
      </c>
      <c r="H1" t="s">
        <v>138</v>
      </c>
      <c r="J1" t="s">
        <v>139</v>
      </c>
      <c r="K1">
        <v>5.8</v>
      </c>
    </row>
    <row r="2" spans="1:11">
      <c r="A2" t="s">
        <v>120</v>
      </c>
      <c r="B2" s="19">
        <v>478.23</v>
      </c>
      <c r="D2" t="s">
        <v>121</v>
      </c>
      <c r="E2" s="15">
        <f>EXP(B3*E1)</f>
        <v>1.0000750028125702</v>
      </c>
      <c r="G2" t="s">
        <v>136</v>
      </c>
      <c r="H2" s="1">
        <v>44544</v>
      </c>
      <c r="J2" t="s">
        <v>140</v>
      </c>
      <c r="K2">
        <v>1.23</v>
      </c>
    </row>
    <row r="3" spans="1:11">
      <c r="A3" t="s">
        <v>48</v>
      </c>
      <c r="B3" s="3">
        <v>1.2999999999999999E-3</v>
      </c>
      <c r="D3" t="s">
        <v>122</v>
      </c>
      <c r="E3" s="15">
        <f>EXP(B4*SQRT(E1))</f>
        <v>1.0671804071064381</v>
      </c>
      <c r="G3" t="s">
        <v>141</v>
      </c>
      <c r="H3" s="1">
        <v>44533</v>
      </c>
    </row>
    <row r="4" spans="1:11">
      <c r="A4" t="s">
        <v>49</v>
      </c>
      <c r="B4">
        <v>0.2707</v>
      </c>
      <c r="D4" t="s">
        <v>123</v>
      </c>
      <c r="E4" s="15">
        <f>1/E3</f>
        <v>0.93704868768290861</v>
      </c>
      <c r="G4" t="s">
        <v>142</v>
      </c>
      <c r="H4" s="1">
        <v>44623</v>
      </c>
    </row>
    <row r="5" spans="1:11">
      <c r="A5" t="s">
        <v>124</v>
      </c>
      <c r="B5">
        <v>10</v>
      </c>
      <c r="D5" t="s">
        <v>125</v>
      </c>
      <c r="E5" s="15">
        <f>(E2-E4)/(E3-E4)</f>
        <v>0.48432707574188577</v>
      </c>
      <c r="G5" t="s">
        <v>143</v>
      </c>
      <c r="H5" s="1">
        <v>44715</v>
      </c>
    </row>
    <row r="6" spans="1:11">
      <c r="D6" t="s">
        <v>126</v>
      </c>
      <c r="E6" s="15">
        <f>1-E5</f>
        <v>0.51567292425811417</v>
      </c>
      <c r="G6" t="s">
        <v>61</v>
      </c>
      <c r="H6" s="1">
        <v>44729</v>
      </c>
    </row>
    <row r="8" spans="1:11">
      <c r="A8" s="19" t="s">
        <v>127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>
      <c r="A9" s="19">
        <f>B2</f>
        <v>478.23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>
      <c r="A10" s="19">
        <f t="shared" ref="A10:E19" si="0">A9*$E$4</f>
        <v>448.12479391059742</v>
      </c>
      <c r="B10" s="19">
        <f>A9*$E$3</f>
        <v>510.35768609051195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>
      <c r="A11" s="19">
        <f t="shared" si="0"/>
        <v>419.91475005209918</v>
      </c>
      <c r="B11" s="19">
        <f t="shared" si="0"/>
        <v>478.23</v>
      </c>
      <c r="C11" s="19">
        <f>B10*$E$3</f>
        <v>544.64372321197231</v>
      </c>
      <c r="D11" s="19"/>
      <c r="E11" s="19"/>
      <c r="F11" s="19"/>
      <c r="G11" s="19"/>
      <c r="H11" s="19"/>
      <c r="I11" s="19"/>
      <c r="J11" s="19"/>
      <c r="K11" s="19"/>
    </row>
    <row r="12" spans="1:11">
      <c r="A12" s="19">
        <f t="shared" si="0"/>
        <v>393.48056547501614</v>
      </c>
      <c r="B12" s="19">
        <f t="shared" si="0"/>
        <v>448.12479391059742</v>
      </c>
      <c r="C12" s="19">
        <f t="shared" si="0"/>
        <v>510.35768609051195</v>
      </c>
      <c r="D12" s="19">
        <f>C11*$E$3</f>
        <v>581.23311026531883</v>
      </c>
      <c r="E12" s="19"/>
      <c r="F12" s="19"/>
      <c r="G12" s="19"/>
      <c r="H12" s="19"/>
      <c r="I12" s="19"/>
      <c r="J12" s="19"/>
      <c r="K12" s="19"/>
    </row>
    <row r="13" spans="1:11">
      <c r="A13" s="19">
        <f t="shared" si="0"/>
        <v>368.71044750709268</v>
      </c>
      <c r="B13" s="19">
        <f t="shared" si="0"/>
        <v>419.91475005209918</v>
      </c>
      <c r="C13" s="19">
        <f t="shared" si="0"/>
        <v>478.23</v>
      </c>
      <c r="D13" s="19">
        <f t="shared" si="0"/>
        <v>544.64372321197231</v>
      </c>
      <c r="E13" s="19">
        <f>D12*$E$3</f>
        <v>620.28058723668414</v>
      </c>
      <c r="F13" s="19"/>
      <c r="G13" s="19"/>
      <c r="H13" s="19"/>
      <c r="I13" s="19"/>
      <c r="J13" s="19"/>
      <c r="K13" s="19"/>
    </row>
    <row r="14" spans="1:11">
      <c r="A14" s="19">
        <f t="shared" si="0"/>
        <v>345.49964097149916</v>
      </c>
      <c r="B14" s="19">
        <f t="shared" si="0"/>
        <v>393.48056547501614</v>
      </c>
      <c r="C14" s="19">
        <f t="shared" si="0"/>
        <v>448.12479391059742</v>
      </c>
      <c r="D14" s="19">
        <f t="shared" si="0"/>
        <v>510.35768609051195</v>
      </c>
      <c r="E14" s="19">
        <f t="shared" si="0"/>
        <v>581.23311026531883</v>
      </c>
      <c r="F14" s="19">
        <f>E13*$E$3</f>
        <v>661.95128960746513</v>
      </c>
      <c r="G14" s="19"/>
      <c r="H14" s="19"/>
      <c r="I14" s="19"/>
      <c r="J14" s="19"/>
      <c r="K14" s="19"/>
    </row>
    <row r="15" spans="1:11">
      <c r="A15" s="19">
        <f t="shared" si="0"/>
        <v>323.74998516725935</v>
      </c>
      <c r="B15" s="19">
        <f t="shared" si="0"/>
        <v>368.71044750709268</v>
      </c>
      <c r="C15" s="19">
        <f t="shared" si="0"/>
        <v>419.91475005209918</v>
      </c>
      <c r="D15" s="19">
        <f t="shared" si="0"/>
        <v>478.23</v>
      </c>
      <c r="E15" s="19">
        <f t="shared" si="0"/>
        <v>544.64372321197231</v>
      </c>
      <c r="F15" s="19">
        <f>F14*$E$4</f>
        <v>620.28058723668414</v>
      </c>
      <c r="G15" s="19">
        <f>F14*$E$3</f>
        <v>706.42144672792631</v>
      </c>
      <c r="H15" s="19"/>
      <c r="I15" s="19"/>
      <c r="J15" s="19"/>
      <c r="K15" s="19"/>
    </row>
    <row r="16" spans="1:11">
      <c r="A16" s="19">
        <f t="shared" si="0"/>
        <v>303.36949873834152</v>
      </c>
      <c r="B16" s="19">
        <f t="shared" si="0"/>
        <v>345.49964097149916</v>
      </c>
      <c r="C16" s="19">
        <f t="shared" si="0"/>
        <v>393.48056547501614</v>
      </c>
      <c r="D16" s="19">
        <f t="shared" si="0"/>
        <v>448.12479391059742</v>
      </c>
      <c r="E16" s="19">
        <f t="shared" si="0"/>
        <v>510.35768609051195</v>
      </c>
      <c r="F16" s="19">
        <f>F15*$E$4</f>
        <v>581.23311026531883</v>
      </c>
      <c r="G16" s="19">
        <f>G15*$E$4</f>
        <v>661.95128960746513</v>
      </c>
      <c r="H16" s="19">
        <f>G15*$E$3</f>
        <v>753.87912710782734</v>
      </c>
      <c r="I16" s="19"/>
      <c r="J16" s="19"/>
      <c r="K16" s="19"/>
    </row>
    <row r="17" spans="1:11">
      <c r="A17" s="19">
        <f t="shared" si="0"/>
        <v>284.27199067578471</v>
      </c>
      <c r="B17" s="19">
        <f t="shared" si="0"/>
        <v>323.74998516725935</v>
      </c>
      <c r="C17" s="19">
        <f t="shared" si="0"/>
        <v>368.71044750709268</v>
      </c>
      <c r="D17" s="19">
        <f t="shared" si="0"/>
        <v>419.91475005209918</v>
      </c>
      <c r="E17" s="19">
        <f t="shared" si="0"/>
        <v>478.23</v>
      </c>
      <c r="F17" s="19">
        <f>F16*$E$4</f>
        <v>544.64372321197231</v>
      </c>
      <c r="G17" s="19">
        <f>G16*$E$4</f>
        <v>620.28058723668414</v>
      </c>
      <c r="H17" s="19">
        <f>H16*$E$4</f>
        <v>706.42144672792631</v>
      </c>
      <c r="I17" s="19">
        <f>H16*$E$3</f>
        <v>804.52503377597736</v>
      </c>
      <c r="J17" s="19"/>
      <c r="K17" s="19"/>
    </row>
    <row r="18" spans="1:11">
      <c r="A18" s="19">
        <f t="shared" si="0"/>
        <v>266.37669580775207</v>
      </c>
      <c r="B18" s="19">
        <f t="shared" si="0"/>
        <v>303.36949873834152</v>
      </c>
      <c r="C18" s="19">
        <f t="shared" si="0"/>
        <v>345.49964097149916</v>
      </c>
      <c r="D18" s="19">
        <f t="shared" si="0"/>
        <v>393.48056547501614</v>
      </c>
      <c r="E18" s="19">
        <f t="shared" si="0"/>
        <v>448.12479391059742</v>
      </c>
      <c r="F18" s="19">
        <f>F17*$E$4</f>
        <v>510.35768609051195</v>
      </c>
      <c r="G18" s="19">
        <f>G17*$E$4</f>
        <v>581.23311026531883</v>
      </c>
      <c r="H18" s="19">
        <f>H17*$E$4</f>
        <v>661.95128960746513</v>
      </c>
      <c r="I18" s="19">
        <f>I17*$E$4</f>
        <v>753.87912710782734</v>
      </c>
      <c r="J18" s="19">
        <f>I17*$E$3</f>
        <v>858.57335307236838</v>
      </c>
      <c r="K18" s="19"/>
    </row>
    <row r="19" spans="1:11">
      <c r="A19" s="19">
        <f t="shared" si="0"/>
        <v>249.60793323596343</v>
      </c>
      <c r="B19" s="19">
        <f t="shared" si="0"/>
        <v>284.27199067578471</v>
      </c>
      <c r="C19" s="19">
        <f t="shared" si="0"/>
        <v>323.74998516725935</v>
      </c>
      <c r="D19" s="19">
        <f t="shared" si="0"/>
        <v>368.71044750709268</v>
      </c>
      <c r="E19" s="19">
        <f t="shared" si="0"/>
        <v>419.91475005209918</v>
      </c>
      <c r="F19" s="19">
        <f>F18*$E$4</f>
        <v>478.23</v>
      </c>
      <c r="G19" s="19">
        <f>G18*$E$4</f>
        <v>544.64372321197231</v>
      </c>
      <c r="H19" s="19">
        <f>H18*$E$4</f>
        <v>620.28058723668414</v>
      </c>
      <c r="I19" s="19">
        <f>I18*$E$4</f>
        <v>706.42144672792631</v>
      </c>
      <c r="J19" s="19">
        <f>J18*$E$4</f>
        <v>804.52503377597736</v>
      </c>
      <c r="K19" s="19">
        <f>J18*$E$3</f>
        <v>916.25266046250977</v>
      </c>
    </row>
    <row r="21" spans="1:11">
      <c r="A21" s="24" t="s">
        <v>144</v>
      </c>
      <c r="E21"/>
    </row>
    <row r="22" spans="1:11">
      <c r="A22">
        <v>0</v>
      </c>
      <c r="E22"/>
    </row>
    <row r="23" spans="1:1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1.23E-2</v>
      </c>
      <c r="B27">
        <v>1.23E-2</v>
      </c>
      <c r="C27">
        <v>1.23E-2</v>
      </c>
      <c r="D27">
        <v>1.23E-2</v>
      </c>
      <c r="E27">
        <v>1.23E-2</v>
      </c>
      <c r="F27">
        <v>1.23E-2</v>
      </c>
      <c r="G27">
        <v>1.23E-2</v>
      </c>
      <c r="H27">
        <v>1.23E-2</v>
      </c>
      <c r="I27">
        <v>1.23E-2</v>
      </c>
      <c r="J27">
        <v>1.23E-2</v>
      </c>
      <c r="K27">
        <v>1.23E-2</v>
      </c>
    </row>
    <row r="28" spans="1:1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f xml:space="preserve"> A27 * 1.2</f>
        <v>1.4759999999999999E-2</v>
      </c>
      <c r="B31">
        <f t="shared" ref="B31:K31" si="1" xml:space="preserve"> B27 * 1.2</f>
        <v>1.4759999999999999E-2</v>
      </c>
      <c r="C31">
        <f t="shared" si="1"/>
        <v>1.4759999999999999E-2</v>
      </c>
      <c r="D31">
        <f t="shared" si="1"/>
        <v>1.4759999999999999E-2</v>
      </c>
      <c r="E31">
        <f t="shared" si="1"/>
        <v>1.4759999999999999E-2</v>
      </c>
      <c r="F31">
        <f t="shared" si="1"/>
        <v>1.4759999999999999E-2</v>
      </c>
      <c r="G31">
        <f t="shared" si="1"/>
        <v>1.4759999999999999E-2</v>
      </c>
      <c r="H31">
        <f t="shared" si="1"/>
        <v>1.4759999999999999E-2</v>
      </c>
      <c r="I31">
        <f t="shared" si="1"/>
        <v>1.4759999999999999E-2</v>
      </c>
      <c r="J31">
        <f t="shared" si="1"/>
        <v>1.4759999999999999E-2</v>
      </c>
      <c r="K31">
        <f t="shared" si="1"/>
        <v>1.4759999999999999E-2</v>
      </c>
    </row>
    <row r="32" spans="1:1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E33"/>
    </row>
    <row r="34" spans="1:11">
      <c r="A34" t="s">
        <v>145</v>
      </c>
    </row>
    <row r="35" spans="1:11">
      <c r="A35" s="19">
        <f>A9</f>
        <v>478.23</v>
      </c>
    </row>
    <row r="36" spans="1:11">
      <c r="A36" s="19">
        <f>A10 *(1- A23)</f>
        <v>448.12479391059742</v>
      </c>
      <c r="B36" s="19">
        <f>B10 *(1- B23)</f>
        <v>510.35768609051195</v>
      </c>
    </row>
    <row r="37" spans="1:11">
      <c r="A37" s="19">
        <f>A11 *(1- A23) * (1-A24)</f>
        <v>419.91475005209918</v>
      </c>
      <c r="B37" s="19">
        <f t="shared" ref="B37:C37" si="2">B11 *(1- B23) * (1-B24)</f>
        <v>478.23</v>
      </c>
      <c r="C37" s="19">
        <f t="shared" si="2"/>
        <v>544.64372321197231</v>
      </c>
    </row>
    <row r="38" spans="1:11">
      <c r="A38" s="19">
        <f>A12 *(1-A23)*(1- A24) * (1-A25)</f>
        <v>393.48056547501614</v>
      </c>
      <c r="B38" s="19">
        <f t="shared" ref="B38:D38" si="3">B12 *(1-B23)*(1- B24) * (1-B25)</f>
        <v>448.12479391059742</v>
      </c>
      <c r="C38" s="19">
        <f t="shared" si="3"/>
        <v>510.35768609051195</v>
      </c>
      <c r="D38" s="19">
        <f t="shared" si="3"/>
        <v>581.23311026531883</v>
      </c>
    </row>
    <row r="39" spans="1:11">
      <c r="A39" s="19">
        <f>A13 *(1-A23)*(1-A24)*(1- A25) * (1-A26)</f>
        <v>368.71044750709268</v>
      </c>
      <c r="B39" s="19">
        <f t="shared" ref="B39:E39" si="4">B13 *(1-B23)*(1-B24)*(1- B25) * (1-B26)</f>
        <v>419.91475005209918</v>
      </c>
      <c r="C39" s="19">
        <f t="shared" si="4"/>
        <v>478.23</v>
      </c>
      <c r="D39" s="19">
        <f t="shared" si="4"/>
        <v>544.64372321197231</v>
      </c>
      <c r="E39" s="19">
        <f t="shared" si="4"/>
        <v>620.28058723668414</v>
      </c>
    </row>
    <row r="40" spans="1:11">
      <c r="A40" s="19">
        <f>A14 *(1-A23)*(1-A24)*(1-A25)*(1- A26) * (1-A27)</f>
        <v>341.24999538754975</v>
      </c>
      <c r="B40" s="19">
        <f t="shared" ref="B40:F40" si="5">B14 *(1-B23)*(1-B24)*(1-B25)*(1- B26) * (1-B27)</f>
        <v>388.64075451967346</v>
      </c>
      <c r="C40" s="19">
        <f t="shared" si="5"/>
        <v>442.61285894549707</v>
      </c>
      <c r="D40" s="19">
        <f t="shared" si="5"/>
        <v>504.08028655159865</v>
      </c>
      <c r="E40" s="19">
        <f t="shared" si="5"/>
        <v>574.08394300905547</v>
      </c>
      <c r="F40" s="19">
        <f t="shared" si="5"/>
        <v>653.80928874529332</v>
      </c>
    </row>
    <row r="41" spans="1:11">
      <c r="A41" s="19">
        <f>A15 *(1-A23)*(1-A24)*(1-A25)*(1-A26)*(1- A27) * (1-A28)</f>
        <v>319.76786034970206</v>
      </c>
      <c r="B41" s="19">
        <f t="shared" ref="B41:G41" si="6">B15 *(1-B23)*(1-B24)*(1-B25)*(1-B26)*(1- B27) * (1-B28)</f>
        <v>364.17530900275545</v>
      </c>
      <c r="C41" s="19">
        <f t="shared" si="6"/>
        <v>414.74979862645836</v>
      </c>
      <c r="D41" s="19">
        <f t="shared" si="6"/>
        <v>472.34777100000002</v>
      </c>
      <c r="E41" s="19">
        <f t="shared" si="6"/>
        <v>537.94460541646504</v>
      </c>
      <c r="F41" s="19">
        <f t="shared" si="6"/>
        <v>612.65113601367295</v>
      </c>
      <c r="G41" s="19">
        <f t="shared" si="6"/>
        <v>697.73246293317288</v>
      </c>
    </row>
    <row r="42" spans="1:11">
      <c r="A42" s="19">
        <f>A16 *(1-A23)*(1-A24)*(1-A25)*(1-A26)*(1- A27) * (1-A28) * (1-A29)</f>
        <v>299.63805390385994</v>
      </c>
      <c r="B42" s="19">
        <f t="shared" ref="B42:H42" si="7">B16 *(1-B23)*(1-B24)*(1-B25)*(1-B26)*(1- B27) * (1-B28) * (1-B29)</f>
        <v>341.24999538754975</v>
      </c>
      <c r="C42" s="19">
        <f t="shared" si="7"/>
        <v>388.64075451967346</v>
      </c>
      <c r="D42" s="19">
        <f t="shared" si="7"/>
        <v>442.61285894549707</v>
      </c>
      <c r="E42" s="19">
        <f t="shared" si="7"/>
        <v>504.08028655159865</v>
      </c>
      <c r="F42" s="19">
        <f t="shared" si="7"/>
        <v>574.08394300905547</v>
      </c>
      <c r="G42" s="19">
        <f t="shared" si="7"/>
        <v>653.80928874529332</v>
      </c>
      <c r="H42" s="19">
        <f t="shared" si="7"/>
        <v>744.60641384440112</v>
      </c>
    </row>
    <row r="43" spans="1:11">
      <c r="A43" s="19">
        <f>A17*(1-A23)*(1-A24)*(1-A25)*(1-A26)*(1- A27) * (1-A28) * (1-A29)* (1-A30)</f>
        <v>280.77544519047257</v>
      </c>
      <c r="B43" s="19">
        <f t="shared" ref="B43:I43" si="8">B17*(1-B23)*(1-B24)*(1-B25)*(1-B26)*(1- B27) * (1-B28) * (1-B29)* (1-B30)</f>
        <v>319.76786034970206</v>
      </c>
      <c r="C43" s="19">
        <f t="shared" si="8"/>
        <v>364.17530900275545</v>
      </c>
      <c r="D43" s="19">
        <f t="shared" si="8"/>
        <v>414.74979862645836</v>
      </c>
      <c r="E43" s="19">
        <f t="shared" si="8"/>
        <v>472.34777100000002</v>
      </c>
      <c r="F43" s="19">
        <f t="shared" si="8"/>
        <v>537.94460541646504</v>
      </c>
      <c r="G43" s="19">
        <f t="shared" si="8"/>
        <v>612.65113601367295</v>
      </c>
      <c r="H43" s="19">
        <f t="shared" si="8"/>
        <v>697.73246293317288</v>
      </c>
      <c r="I43" s="19">
        <f t="shared" si="8"/>
        <v>794.62937586053283</v>
      </c>
    </row>
    <row r="44" spans="1:11">
      <c r="A44" s="19">
        <f>A18 *(1-A23)*(1-A24)*(1-A25)*(1-A26)*(1- A27) * (1-A28) * (1-A29)* (1-A30)* (1-A31)</f>
        <v>259.21690257556486</v>
      </c>
      <c r="B44" s="19">
        <f t="shared" ref="B44:I44" si="9">B18 *(1-B23)*(1-B24)*(1-B25)*(1-B26)*(1- B27) * (1-B28) * (1-B29)* (1-B30)* (1-B31)</f>
        <v>295.21539622823894</v>
      </c>
      <c r="C44" s="19">
        <f t="shared" si="9"/>
        <v>336.2131454556295</v>
      </c>
      <c r="D44" s="19">
        <f t="shared" si="9"/>
        <v>382.90441698296308</v>
      </c>
      <c r="E44" s="19">
        <f t="shared" si="9"/>
        <v>436.07989314746152</v>
      </c>
      <c r="F44" s="19">
        <f t="shared" si="9"/>
        <v>496.64006152209703</v>
      </c>
      <c r="G44" s="19">
        <f t="shared" si="9"/>
        <v>565.6104640102418</v>
      </c>
      <c r="H44" s="19">
        <f t="shared" si="9"/>
        <v>644.15906364341276</v>
      </c>
      <c r="I44" s="19">
        <f t="shared" si="9"/>
        <v>733.61602317605775</v>
      </c>
      <c r="J44" s="19">
        <f>J18 *(1-J23)*(1-J24)*(1-J25)*(1-J26)*(1- J27) * (1-J28) * (1-J29)* (1-J30)* (1-J31)</f>
        <v>835.49623041333371</v>
      </c>
    </row>
    <row r="45" spans="1:11">
      <c r="A45" s="19">
        <f>A19 *(1-A23)*(1-A24)*(1-A25)*(1-A26)*(1- A27) * (1-A28) * (1-A29)* (1-A30)* (1-A31) * (1-A32)</f>
        <v>242.89885838366138</v>
      </c>
      <c r="B45" s="19">
        <f t="shared" ref="B45:K45" si="10">B19 *(1-B23)*(1-B24)*(1-B25)*(1-B26)*(1- B27) * (1-B28) * (1-B29)* (1-B30)* (1-B31) * (1-B32)</f>
        <v>276.6311996194612</v>
      </c>
      <c r="C45" s="19">
        <f t="shared" si="10"/>
        <v>315.04808673094044</v>
      </c>
      <c r="D45" s="19">
        <f t="shared" si="10"/>
        <v>358.8000814418748</v>
      </c>
      <c r="E45" s="19">
        <f t="shared" si="10"/>
        <v>408.62809159873183</v>
      </c>
      <c r="F45" s="19">
        <f t="shared" si="10"/>
        <v>465.37591790004001</v>
      </c>
      <c r="G45" s="19">
        <f t="shared" si="10"/>
        <v>530.004543040518</v>
      </c>
      <c r="H45" s="19">
        <f t="shared" si="10"/>
        <v>603.60840524611115</v>
      </c>
      <c r="I45" s="19">
        <f t="shared" si="10"/>
        <v>687.43393178027929</v>
      </c>
      <c r="J45" s="19">
        <f t="shared" si="10"/>
        <v>782.90064627283141</v>
      </c>
      <c r="K45" s="19">
        <f t="shared" si="10"/>
        <v>891.62520730839583</v>
      </c>
    </row>
    <row r="47" spans="1:11">
      <c r="A47" t="s">
        <v>129</v>
      </c>
      <c r="B47" t="s">
        <v>128</v>
      </c>
      <c r="C47">
        <v>500</v>
      </c>
      <c r="E47"/>
    </row>
    <row r="48" spans="1:11">
      <c r="A48" s="19">
        <f t="shared" ref="A48:B56" si="11">MAX(($E$6*A49+$E$5*B49)/$E$2, A35 - $C$47)</f>
        <v>27.014733484519702</v>
      </c>
      <c r="B48" s="19"/>
      <c r="C48" s="19"/>
      <c r="D48" s="19"/>
      <c r="E48" s="19"/>
      <c r="F48" s="19"/>
      <c r="G48" s="19"/>
      <c r="H48" s="19"/>
      <c r="I48" s="19"/>
      <c r="J48" s="19"/>
    </row>
    <row r="49" spans="1:11">
      <c r="A49" s="19">
        <f t="shared" si="11"/>
        <v>14.182079743741378</v>
      </c>
      <c r="B49" s="19">
        <f t="shared" si="11"/>
        <v>40.682105376441157</v>
      </c>
      <c r="C49" s="19"/>
      <c r="D49" s="19"/>
      <c r="E49" s="19"/>
      <c r="F49" s="19"/>
      <c r="G49" s="19"/>
      <c r="H49" s="19"/>
      <c r="I49" s="19"/>
      <c r="J49" s="19"/>
    </row>
    <row r="50" spans="1:11">
      <c r="A50" s="19">
        <f t="shared" si="11"/>
        <v>6.2350187867322902</v>
      </c>
      <c r="B50" s="19">
        <f t="shared" ref="B50" si="12">MAX(($E$6*B51+$E$5*C51)/$E$2, B37 - $C$47)</f>
        <v>22.645674005012484</v>
      </c>
      <c r="C50" s="19">
        <f t="shared" ref="C50" si="13">MAX(($E$6*C51+$E$5*D51)/$E$2, C37 - $C$47)</f>
        <v>59.892162065009025</v>
      </c>
      <c r="D50" s="19"/>
      <c r="E50" s="19"/>
      <c r="F50" s="19"/>
      <c r="G50" s="19"/>
      <c r="H50" s="19"/>
      <c r="I50" s="19"/>
      <c r="J50" s="19"/>
    </row>
    <row r="51" spans="1:11">
      <c r="A51" s="19">
        <f t="shared" si="11"/>
        <v>2.0445656514686266</v>
      </c>
      <c r="B51" s="19">
        <f t="shared" ref="B51" si="14">MAX(($E$6*B52+$E$5*C52)/$E$2, B38 - $C$47)</f>
        <v>10.697645334840654</v>
      </c>
      <c r="C51" s="19">
        <f t="shared" ref="C51" si="15">MAX(($E$6*C52+$E$5*D52)/$E$2, C38 - $C$47)</f>
        <v>35.370490934294942</v>
      </c>
      <c r="D51" s="19">
        <f t="shared" ref="D51" si="16">MAX(($E$6*D52+$E$5*E52)/$E$2, D38 - $C$47)</f>
        <v>86.010160776727389</v>
      </c>
      <c r="E51" s="19"/>
      <c r="F51" s="19"/>
      <c r="G51" s="19"/>
      <c r="H51" s="19"/>
      <c r="I51" s="19"/>
      <c r="J51" s="19"/>
    </row>
    <row r="52" spans="1:11">
      <c r="A52" s="19">
        <f t="shared" si="11"/>
        <v>0.38710080564874783</v>
      </c>
      <c r="B52" s="19">
        <f t="shared" ref="B52" si="17">MAX(($E$6*B53+$E$5*C53)/$E$2, B39 - $C$47)</f>
        <v>3.8096189282523745</v>
      </c>
      <c r="C52" s="19">
        <f t="shared" ref="C52" si="18">MAX(($E$6*C53+$E$5*D53)/$E$2, C39 - $C$47)</f>
        <v>18.033124292936055</v>
      </c>
      <c r="D52" s="19">
        <f t="shared" ref="D52" si="19">MAX(($E$6*D53+$E$5*E53)/$E$2, D39 - $C$47)</f>
        <v>53.835416578783871</v>
      </c>
      <c r="E52" s="19">
        <f t="shared" ref="E52" si="20">MAX(($E$6*E53+$E$5*F53)/$E$2, E39 - $C$47)</f>
        <v>120.28058723668414</v>
      </c>
      <c r="F52" s="19"/>
      <c r="G52" s="19"/>
      <c r="H52" s="19"/>
      <c r="I52" s="19"/>
      <c r="J52" s="19"/>
    </row>
    <row r="53" spans="1:11">
      <c r="A53" s="19">
        <f t="shared" si="11"/>
        <v>0</v>
      </c>
      <c r="B53" s="19">
        <f t="shared" ref="B53" si="21">MAX(($E$6*B54+$E$5*C54)/$E$2, B40 - $C$47)</f>
        <v>0.7993148817974286</v>
      </c>
      <c r="C53" s="19">
        <f t="shared" ref="C53" si="22">MAX(($E$6*C54+$E$5*D54)/$E$2, C40 - $C$47)</f>
        <v>7.0153410537346552</v>
      </c>
      <c r="D53" s="19">
        <f t="shared" ref="D53" si="23">MAX(($E$6*D54+$E$5*E54)/$E$2, D40 - $C$47)</f>
        <v>29.766775623779768</v>
      </c>
      <c r="E53" s="19">
        <f t="shared" ref="E53" si="24">MAX(($E$6*E54+$E$5*F54)/$E$2, E40 - $C$47)</f>
        <v>79.470126867955415</v>
      </c>
      <c r="F53" s="19">
        <f t="shared" ref="F53" si="25">MAX(($E$6*F54+$E$5*G54)/$E$2, F40 - $C$47)</f>
        <v>154.10558600956855</v>
      </c>
      <c r="G53" s="19"/>
      <c r="H53" s="19"/>
      <c r="I53" s="19"/>
      <c r="J53" s="19"/>
    </row>
    <row r="54" spans="1:11">
      <c r="A54" s="19">
        <f t="shared" si="11"/>
        <v>0</v>
      </c>
      <c r="B54" s="19">
        <f t="shared" ref="B54" si="26">MAX(($E$6*B55+$E$5*C55)/$E$2, B41 - $C$47)</f>
        <v>0</v>
      </c>
      <c r="C54" s="19">
        <f t="shared" ref="C54" si="27">MAX(($E$6*C55+$E$5*D55)/$E$2, C41 - $C$47)</f>
        <v>1.650485534877894</v>
      </c>
      <c r="D54" s="19">
        <f t="shared" ref="D54" si="28">MAX(($E$6*D55+$E$5*E55)/$E$2, D41 - $C$47)</f>
        <v>12.728498633667201</v>
      </c>
      <c r="E54" s="19">
        <f t="shared" ref="E54" si="29">MAX(($E$6*E55+$E$5*F55)/$E$2, E41 - $C$47)</f>
        <v>47.912386620732704</v>
      </c>
      <c r="F54" s="19">
        <f t="shared" ref="F54" si="30">MAX(($E$6*F55+$E$5*G55)/$E$2, F41 - $C$47)</f>
        <v>113.08260383789791</v>
      </c>
      <c r="G54" s="19">
        <f t="shared" ref="G54" si="31">MAX(($E$6*G55+$E$5*H55)/$E$2, G41 - $C$47)</f>
        <v>197.80745730845393</v>
      </c>
      <c r="H54" s="19"/>
      <c r="I54" s="19"/>
      <c r="J54" s="19"/>
    </row>
    <row r="55" spans="1:11">
      <c r="A55" s="19">
        <f t="shared" si="11"/>
        <v>0</v>
      </c>
      <c r="B55" s="19">
        <f t="shared" ref="B55" si="32">MAX(($E$6*B56+$E$5*C56)/$E$2, B42 - $C$47)</f>
        <v>0</v>
      </c>
      <c r="C55" s="19">
        <f t="shared" ref="C55" si="33">MAX(($E$6*C56+$E$5*D56)/$E$2, C42 - $C$47)</f>
        <v>0</v>
      </c>
      <c r="D55" s="19">
        <f t="shared" ref="D55" si="34">MAX(($E$6*D56+$E$5*E56)/$E$2, D42 - $C$47)</f>
        <v>3.4080467696478354</v>
      </c>
      <c r="E55" s="19">
        <f t="shared" ref="E55" si="35">MAX(($E$6*E56+$E$5*F56)/$E$2, E42 - $C$47)</f>
        <v>22.654145127742478</v>
      </c>
      <c r="F55" s="19">
        <f t="shared" ref="F55" si="36">MAX(($E$6*F56+$E$5*G56)/$E$2, F42 - $C$47)</f>
        <v>74.812771646914442</v>
      </c>
      <c r="G55" s="19">
        <f t="shared" ref="G55" si="37">MAX(($E$6*G56+$E$5*H56)/$E$2, G42 - $C$47)</f>
        <v>153.84678733907839</v>
      </c>
      <c r="H55" s="19">
        <f t="shared" ref="H55" si="38">MAX(($E$6*H56+$E$5*I56)/$E$2, H42 - $C$47)</f>
        <v>244.64391243818619</v>
      </c>
      <c r="I55" s="19"/>
      <c r="J55" s="19"/>
    </row>
    <row r="56" spans="1:11">
      <c r="A56" s="19">
        <f t="shared" si="11"/>
        <v>0</v>
      </c>
      <c r="B56" s="19">
        <f t="shared" ref="B56" si="39">MAX(($E$6*B57+$E$5*C57)/$E$2, B43 - $C$47)</f>
        <v>0</v>
      </c>
      <c r="C56" s="19">
        <f t="shared" ref="C56" si="40">MAX(($E$6*C57+$E$5*D57)/$E$2, C43 - $C$47)</f>
        <v>0</v>
      </c>
      <c r="D56" s="19">
        <f t="shared" ref="D56" si="41">MAX(($E$6*D57+$E$5*E57)/$E$2, D43 - $C$47)</f>
        <v>0</v>
      </c>
      <c r="E56" s="19">
        <f t="shared" ref="E56" si="42">MAX(($E$6*E57+$E$5*F57)/$E$2, E43 - $C$47)</f>
        <v>7.0371915043571285</v>
      </c>
      <c r="F56" s="19">
        <f t="shared" ref="F56" si="43">MAX(($E$6*F57+$E$5*G57)/$E$2, F43 - $C$47)</f>
        <v>39.285342661427713</v>
      </c>
      <c r="G56" s="19">
        <f t="shared" ref="G56" si="44">MAX(($E$6*G57+$E$5*H57)/$E$2, G43 - $C$47)</f>
        <v>112.65113601367295</v>
      </c>
      <c r="H56" s="19">
        <f t="shared" ref="H56" si="45">MAX(($E$6*H57+$E$5*I57)/$E$2, H43 - $C$47)</f>
        <v>197.73246293317288</v>
      </c>
      <c r="I56" s="19">
        <f t="shared" ref="I56" si="46">MAX(($E$6*I57+$E$5*J57)/$E$2, I43 - $C$47)</f>
        <v>294.62937586053283</v>
      </c>
      <c r="J56" s="19"/>
    </row>
    <row r="57" spans="1:11">
      <c r="A57" s="19">
        <f>MAX(($E$6*A58+$E$5*B58)/$E$2, A44 - $C$47)</f>
        <v>0</v>
      </c>
      <c r="B57" s="19">
        <f t="shared" ref="B57:J57" si="47">MAX(($E$6*B58+$E$5*C58)/$E$2, B44 - $C$47)</f>
        <v>0</v>
      </c>
      <c r="C57" s="19">
        <f t="shared" si="47"/>
        <v>0</v>
      </c>
      <c r="D57" s="19">
        <f t="shared" si="47"/>
        <v>0</v>
      </c>
      <c r="E57" s="19">
        <f t="shared" si="47"/>
        <v>0</v>
      </c>
      <c r="F57" s="19">
        <f t="shared" si="47"/>
        <v>14.530922729711664</v>
      </c>
      <c r="G57" s="19">
        <f t="shared" si="47"/>
        <v>65.64796260402683</v>
      </c>
      <c r="H57" s="19">
        <f t="shared" si="47"/>
        <v>144.19656223719792</v>
      </c>
      <c r="I57" s="19">
        <f t="shared" si="47"/>
        <v>233.65352176984288</v>
      </c>
      <c r="J57" s="19">
        <f t="shared" si="47"/>
        <v>335.53372900711878</v>
      </c>
    </row>
    <row r="58" spans="1:11">
      <c r="A58" s="19">
        <f>MAX(A45-$C$47,0)</f>
        <v>0</v>
      </c>
      <c r="B58" s="19">
        <f t="shared" ref="B58:K58" si="48">MAX(B45-$C$47,0)</f>
        <v>0</v>
      </c>
      <c r="C58" s="19">
        <f t="shared" si="48"/>
        <v>0</v>
      </c>
      <c r="D58" s="19">
        <f t="shared" si="48"/>
        <v>0</v>
      </c>
      <c r="E58" s="19">
        <f t="shared" si="48"/>
        <v>0</v>
      </c>
      <c r="F58" s="19">
        <f t="shared" si="48"/>
        <v>0</v>
      </c>
      <c r="G58" s="19">
        <f t="shared" si="48"/>
        <v>30.004543040518001</v>
      </c>
      <c r="H58" s="19">
        <f t="shared" si="48"/>
        <v>103.60840524611115</v>
      </c>
      <c r="I58" s="19">
        <f t="shared" si="48"/>
        <v>187.43393178027929</v>
      </c>
      <c r="J58" s="19">
        <f t="shared" si="48"/>
        <v>282.90064627283141</v>
      </c>
      <c r="K58" s="19">
        <f t="shared" si="48"/>
        <v>391.62520730839583</v>
      </c>
    </row>
    <row r="60" spans="1:11">
      <c r="A60" t="s">
        <v>130</v>
      </c>
      <c r="B60" t="s">
        <v>128</v>
      </c>
      <c r="C60">
        <v>500</v>
      </c>
      <c r="E60"/>
    </row>
    <row r="61" spans="1:11">
      <c r="A61" s="19">
        <f t="shared" ref="A61:B69" si="49">MAX(($E$6*A62+$E$5*B62)/$E$2, $C$60 - A35)</f>
        <v>59.867112147169969</v>
      </c>
      <c r="B61" s="19"/>
      <c r="C61" s="19"/>
      <c r="D61" s="19"/>
      <c r="E61" s="19"/>
      <c r="F61" s="19"/>
      <c r="G61" s="19"/>
      <c r="H61" s="19"/>
      <c r="I61" s="19"/>
      <c r="J61" s="19"/>
    </row>
    <row r="62" spans="1:11">
      <c r="A62" s="19">
        <f t="shared" si="49"/>
        <v>77.308449481103111</v>
      </c>
      <c r="B62" s="19">
        <f t="shared" si="49"/>
        <v>41.306235263712701</v>
      </c>
      <c r="C62" s="19"/>
      <c r="D62" s="19"/>
      <c r="E62" s="19"/>
      <c r="F62" s="19"/>
      <c r="G62" s="19"/>
      <c r="H62" s="19"/>
      <c r="I62" s="19"/>
      <c r="J62" s="19"/>
    </row>
    <row r="63" spans="1:11">
      <c r="A63" s="19">
        <f t="shared" si="49"/>
        <v>97.221241569339114</v>
      </c>
      <c r="B63" s="19">
        <f t="shared" ref="B63" si="50">MAX(($E$6*B64+$E$5*C64)/$E$2, $C$60 - B37)</f>
        <v>56.118865232859889</v>
      </c>
      <c r="C63" s="19">
        <f t="shared" ref="C63" si="51">MAX(($E$6*C64+$E$5*D64)/$E$2, $C$60 - C37)</f>
        <v>25.541322437754573</v>
      </c>
      <c r="D63" s="19"/>
      <c r="E63" s="19"/>
      <c r="F63" s="19"/>
      <c r="G63" s="19"/>
      <c r="H63" s="19"/>
      <c r="I63" s="19"/>
      <c r="J63" s="19"/>
    </row>
    <row r="64" spans="1:11">
      <c r="A64" s="19">
        <f t="shared" si="49"/>
        <v>118.91162492927441</v>
      </c>
      <c r="B64" s="19">
        <f t="shared" ref="B64" si="52">MAX(($E$6*B65+$E$5*C65)/$E$2, $C$60 - B38)</f>
        <v>74.142103299367278</v>
      </c>
      <c r="C64" s="19">
        <f t="shared" ref="C64" si="53">MAX(($E$6*C65+$E$5*D65)/$E$2, $C$60 - C38)</f>
        <v>36.937846308003842</v>
      </c>
      <c r="D64" s="19">
        <f t="shared" ref="D64" si="54">MAX(($E$6*D65+$E$5*E65)/$E$2, $C$60 - D38)</f>
        <v>13.411166157455657</v>
      </c>
      <c r="E64" s="19"/>
      <c r="F64" s="19"/>
      <c r="G64" s="19"/>
      <c r="H64" s="19"/>
      <c r="I64" s="19"/>
      <c r="J64" s="19"/>
    </row>
    <row r="65" spans="1:11">
      <c r="A65" s="19">
        <f t="shared" si="49"/>
        <v>141.39855556077114</v>
      </c>
      <c r="B65" s="19">
        <f t="shared" ref="B65" si="55">MAX(($E$6*B66+$E$5*C66)/$E$2, $C$60 - B39)</f>
        <v>94.987745488366613</v>
      </c>
      <c r="C65" s="19">
        <f t="shared" ref="C65" si="56">MAX(($E$6*C66+$E$5*D66)/$E$2, $C$60 - C39)</f>
        <v>51.958804166431534</v>
      </c>
      <c r="D65" s="19">
        <f t="shared" ref="D65" si="57">MAX(($E$6*D66+$E$5*E66)/$E$2, $C$60 - D39)</f>
        <v>20.950446037661539</v>
      </c>
      <c r="E65" s="19">
        <f t="shared" ref="E65" si="58">MAX(($E$6*E66+$E$5*F66)/$E$2, $C$60 - E39)</f>
        <v>5.3860178184107417</v>
      </c>
      <c r="F65" s="19"/>
      <c r="G65" s="19"/>
      <c r="H65" s="19"/>
      <c r="I65" s="19"/>
      <c r="J65" s="19"/>
    </row>
    <row r="66" spans="1:11">
      <c r="A66" s="19">
        <f t="shared" si="49"/>
        <v>163.6368770421208</v>
      </c>
      <c r="B66" s="19">
        <f t="shared" ref="B66" si="59">MAX(($E$6*B67+$E$5*C67)/$E$2, $C$60 - B40)</f>
        <v>117.74285767939759</v>
      </c>
      <c r="C66" s="19">
        <f t="shared" ref="C66" si="60">MAX(($E$6*C67+$E$5*D67)/$E$2, $C$60 - C40)</f>
        <v>70.774622818452485</v>
      </c>
      <c r="D66" s="19">
        <f t="shared" ref="D66" si="61">MAX(($E$6*D67+$E$5*E67)/$E$2, $C$60 - D40)</f>
        <v>31.933264286607393</v>
      </c>
      <c r="E66" s="19">
        <f t="shared" ref="E66" si="62">MAX(($E$6*E67+$E$5*F67)/$E$2, $C$60 - E40)</f>
        <v>9.260059635086515</v>
      </c>
      <c r="F66" s="19">
        <f t="shared" ref="F66" si="63">MAX(($E$6*F67+$E$5*G67)/$E$2, $C$60 - F40)</f>
        <v>1.2620804920513011</v>
      </c>
      <c r="G66" s="19"/>
      <c r="H66" s="19"/>
      <c r="I66" s="19"/>
      <c r="J66" s="19"/>
    </row>
    <row r="67" spans="1:11">
      <c r="A67" s="19">
        <f t="shared" si="49"/>
        <v>184.83942592436046</v>
      </c>
      <c r="B67" s="19">
        <f t="shared" ref="B67" si="64">MAX(($E$6*B68+$E$5*C68)/$E$2, $C$60 - B41)</f>
        <v>141.08743121342616</v>
      </c>
      <c r="C67" s="19">
        <f t="shared" ref="C67" si="65">MAX(($E$6*C68+$E$5*D68)/$E$2, $C$60 - C41)</f>
        <v>92.905647337731878</v>
      </c>
      <c r="D67" s="19">
        <f t="shared" ref="D67" si="66">MAX(($E$6*D68+$E$5*E68)/$E$2, $C$60 - D41)</f>
        <v>47.222229392085254</v>
      </c>
      <c r="E67" s="19">
        <f t="shared" ref="E67" si="67">MAX(($E$6*E68+$E$5*F68)/$E$2, $C$60 - E41)</f>
        <v>15.659736220655494</v>
      </c>
      <c r="F67" s="19">
        <f t="shared" ref="F67" si="68">MAX(($E$6*F68+$E$5*G68)/$E$2, $C$60 - F41)</f>
        <v>2.4476273472254819</v>
      </c>
      <c r="G67" s="19">
        <f t="shared" ref="G67" si="69">MAX(($E$6*G68+$E$5*H68)/$E$2, $C$60 - G41)</f>
        <v>0</v>
      </c>
      <c r="H67" s="19"/>
      <c r="I67" s="19"/>
      <c r="J67" s="19"/>
    </row>
    <row r="68" spans="1:11">
      <c r="A68" s="19">
        <f t="shared" si="49"/>
        <v>204.70960939647986</v>
      </c>
      <c r="B68" s="19">
        <f t="shared" ref="B68" si="70">MAX(($E$6*B69+$E$5*C69)/$E$2, $C$60 - B42)</f>
        <v>163.71186016908931</v>
      </c>
      <c r="C68" s="19">
        <f t="shared" ref="C68" si="71">MAX(($E$6*C69+$E$5*D69)/$E$2, $C$60 - C42)</f>
        <v>117.02058864175577</v>
      </c>
      <c r="D68" s="19">
        <f t="shared" ref="D68" si="72">MAX(($E$6*D69+$E$5*E69)/$E$2, $C$60 - D42)</f>
        <v>67.24436441922677</v>
      </c>
      <c r="E68" s="19">
        <f t="shared" ref="E68" si="73">MAX(($E$6*E69+$E$5*F69)/$E$2, $C$60 - E42)</f>
        <v>25.91156633756459</v>
      </c>
      <c r="F68" s="19">
        <f t="shared" ref="F68" si="74">MAX(($E$6*F69+$E$5*G69)/$E$2, $C$60 - F42)</f>
        <v>4.7468284856767546</v>
      </c>
      <c r="G68" s="19">
        <f t="shared" ref="G68" si="75">MAX(($E$6*G69+$E$5*H69)/$E$2, $C$60 - G42)</f>
        <v>0</v>
      </c>
      <c r="H68" s="19">
        <f t="shared" ref="H68" si="76">MAX(($E$6*H69+$E$5*I69)/$E$2, $C$60 - H42)</f>
        <v>0</v>
      </c>
      <c r="I68" s="19"/>
      <c r="J68" s="19"/>
    </row>
    <row r="69" spans="1:11">
      <c r="A69" s="19">
        <f t="shared" si="49"/>
        <v>223.33130178675367</v>
      </c>
      <c r="B69" s="19">
        <f t="shared" ref="B69" si="77">MAX(($E$6*B70+$E$5*C70)/$E$2, $C$60 - B43)</f>
        <v>184.91441467527437</v>
      </c>
      <c r="C69" s="19">
        <f t="shared" ref="C69" si="78">MAX(($E$6*C70+$E$5*D70)/$E$2, $C$60 - C43)</f>
        <v>141.1624199643401</v>
      </c>
      <c r="D69" s="19">
        <f t="shared" ref="D69" si="79">MAX(($E$6*D70+$E$5*E70)/$E$2, $C$60 - D43)</f>
        <v>91.334409807483027</v>
      </c>
      <c r="E69" s="19">
        <f t="shared" ref="E69" si="80">MAX(($E$6*E70+$E$5*F70)/$E$2, $C$60 - E43)</f>
        <v>41.605614788327365</v>
      </c>
      <c r="F69" s="19">
        <f t="shared" ref="F69" si="81">MAX(($E$6*F70+$E$5*G70)/$E$2, $C$60 - F43)</f>
        <v>9.2058052456285644</v>
      </c>
      <c r="G69" s="19">
        <f t="shared" ref="G69" si="82">MAX(($E$6*G70+$E$5*H70)/$E$2, $C$60 - G43)</f>
        <v>0</v>
      </c>
      <c r="H69" s="19">
        <f t="shared" ref="H69" si="83">MAX(($E$6*H70+$E$5*I70)/$E$2, $C$60 - H43)</f>
        <v>0</v>
      </c>
      <c r="I69" s="19">
        <f t="shared" ref="I69" si="84">MAX(($E$6*I70+$E$5*J70)/$E$2, $C$60 - I43)</f>
        <v>0</v>
      </c>
      <c r="J69" s="19"/>
    </row>
    <row r="70" spans="1:11">
      <c r="A70" s="19">
        <f>MAX(($E$6*A71+$E$5*B71)/$E$2, $C$60 - A44)</f>
        <v>240.78309742443514</v>
      </c>
      <c r="B70" s="19">
        <f t="shared" ref="B70:J70" si="85">MAX(($E$6*B71+$E$5*C71)/$E$2, $C$60 - B44)</f>
        <v>204.78460377176106</v>
      </c>
      <c r="C70" s="19">
        <f t="shared" si="85"/>
        <v>163.7868545443705</v>
      </c>
      <c r="D70" s="19">
        <f t="shared" si="85"/>
        <v>117.09558301703692</v>
      </c>
      <c r="E70" s="19">
        <f t="shared" si="85"/>
        <v>63.920106852538481</v>
      </c>
      <c r="F70" s="19">
        <f t="shared" si="85"/>
        <v>17.853362613829525</v>
      </c>
      <c r="G70" s="19">
        <f t="shared" si="85"/>
        <v>0</v>
      </c>
      <c r="H70" s="19">
        <f t="shared" si="85"/>
        <v>0</v>
      </c>
      <c r="I70" s="19">
        <f t="shared" si="85"/>
        <v>0</v>
      </c>
      <c r="J70" s="19">
        <f t="shared" si="85"/>
        <v>0</v>
      </c>
    </row>
    <row r="71" spans="1:11">
      <c r="A71" s="19">
        <f>MAX($C$60-A45,0)</f>
        <v>257.10114161633862</v>
      </c>
      <c r="B71" s="19">
        <f t="shared" ref="B71:K71" si="86">MAX($C$60-B45,0)</f>
        <v>223.3688003805388</v>
      </c>
      <c r="C71" s="19">
        <f t="shared" si="86"/>
        <v>184.95191326905956</v>
      </c>
      <c r="D71" s="19">
        <f t="shared" si="86"/>
        <v>141.1999185581252</v>
      </c>
      <c r="E71" s="19">
        <f t="shared" si="86"/>
        <v>91.371908401268172</v>
      </c>
      <c r="F71" s="19">
        <f t="shared" si="86"/>
        <v>34.624082099959992</v>
      </c>
      <c r="G71" s="19">
        <f t="shared" si="86"/>
        <v>0</v>
      </c>
      <c r="H71" s="19">
        <f t="shared" si="86"/>
        <v>0</v>
      </c>
      <c r="I71" s="19">
        <f t="shared" si="86"/>
        <v>0</v>
      </c>
      <c r="J71" s="19">
        <f t="shared" si="86"/>
        <v>0</v>
      </c>
      <c r="K71" s="19">
        <f t="shared" si="86"/>
        <v>0</v>
      </c>
    </row>
  </sheetData>
  <pageMargins left="0.7" right="0.7" top="0.75" bottom="0.75" header="0.3" footer="0.3"/>
  <pageSetup scale="6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7D0F-30B2-41E4-8A0C-B0216FA4352D}">
  <sheetPr>
    <tabColor rgb="FF00B0F0"/>
    <pageSetUpPr fitToPage="1"/>
  </sheetPr>
  <dimension ref="A1:P17"/>
  <sheetViews>
    <sheetView workbookViewId="0">
      <selection activeCell="G18" sqref="G18"/>
    </sheetView>
  </sheetViews>
  <sheetFormatPr defaultRowHeight="14.4"/>
  <sheetData>
    <row r="1" spans="1:16">
      <c r="A1" s="37" t="s">
        <v>146</v>
      </c>
      <c r="B1" s="37"/>
      <c r="C1" s="37"/>
      <c r="D1" s="37"/>
      <c r="E1" s="37"/>
      <c r="G1" s="37" t="s">
        <v>148</v>
      </c>
      <c r="H1" s="37"/>
      <c r="I1" s="37"/>
      <c r="J1" s="37"/>
      <c r="K1" s="37"/>
      <c r="M1" t="s">
        <v>151</v>
      </c>
    </row>
    <row r="3" spans="1:16">
      <c r="A3" t="s">
        <v>64</v>
      </c>
      <c r="G3" t="s">
        <v>64</v>
      </c>
      <c r="I3" t="s">
        <v>149</v>
      </c>
      <c r="J3">
        <v>0.26879999999999998</v>
      </c>
      <c r="M3" t="s">
        <v>64</v>
      </c>
      <c r="O3" t="s">
        <v>149</v>
      </c>
      <c r="P3">
        <v>0.26879999999999998</v>
      </c>
    </row>
    <row r="4" spans="1:16">
      <c r="A4" t="s">
        <v>5</v>
      </c>
      <c r="B4" t="s">
        <v>6</v>
      </c>
      <c r="C4" t="s">
        <v>7</v>
      </c>
      <c r="D4" t="s">
        <v>8</v>
      </c>
      <c r="E4" t="s">
        <v>150</v>
      </c>
      <c r="G4" t="s">
        <v>5</v>
      </c>
      <c r="H4" t="s">
        <v>55</v>
      </c>
      <c r="I4" s="37" t="s">
        <v>152</v>
      </c>
      <c r="J4" s="37"/>
      <c r="M4" t="s">
        <v>5</v>
      </c>
      <c r="N4" t="s">
        <v>55</v>
      </c>
    </row>
    <row r="5" spans="1:16">
      <c r="A5" s="18">
        <v>460</v>
      </c>
      <c r="B5" s="19">
        <v>45.21</v>
      </c>
      <c r="C5" s="19">
        <v>45.8</v>
      </c>
      <c r="D5" s="19">
        <v>47.2</v>
      </c>
      <c r="E5" s="19">
        <f xml:space="preserve"> (C5+D5)/2</f>
        <v>46.5</v>
      </c>
      <c r="G5" s="19">
        <v>460</v>
      </c>
      <c r="H5" s="19">
        <v>43.96</v>
      </c>
      <c r="I5" s="44">
        <f xml:space="preserve"> H5-E5</f>
        <v>-2.5399999999999991</v>
      </c>
      <c r="J5" s="28"/>
      <c r="M5" s="19">
        <v>460</v>
      </c>
      <c r="N5" s="19">
        <v>43.72</v>
      </c>
    </row>
    <row r="6" spans="1:16">
      <c r="A6" s="18">
        <v>470</v>
      </c>
      <c r="B6" s="19">
        <v>38.97</v>
      </c>
      <c r="C6" s="19">
        <v>39.4</v>
      </c>
      <c r="D6" s="19">
        <v>41.5</v>
      </c>
      <c r="E6" s="19">
        <f t="shared" ref="E6:E17" si="0" xml:space="preserve"> (C6+D6)/2</f>
        <v>40.450000000000003</v>
      </c>
      <c r="G6" s="19">
        <v>470</v>
      </c>
      <c r="H6" s="19">
        <v>38.47</v>
      </c>
      <c r="I6" s="44">
        <f t="shared" ref="I6:I9" si="1" xml:space="preserve"> H6-E6</f>
        <v>-1.980000000000004</v>
      </c>
      <c r="J6" s="28"/>
      <c r="M6" s="19">
        <v>470</v>
      </c>
      <c r="N6" s="19">
        <v>38.380000000000003</v>
      </c>
    </row>
    <row r="7" spans="1:16">
      <c r="A7" s="18">
        <v>480</v>
      </c>
      <c r="B7" s="19">
        <v>35</v>
      </c>
      <c r="C7" s="19">
        <v>34.15</v>
      </c>
      <c r="D7" s="19">
        <v>35.950000000000003</v>
      </c>
      <c r="E7" s="19">
        <f t="shared" si="0"/>
        <v>35.049999999999997</v>
      </c>
      <c r="G7" s="19">
        <v>480</v>
      </c>
      <c r="H7" s="19">
        <v>34.5</v>
      </c>
      <c r="I7" s="44">
        <f t="shared" si="1"/>
        <v>-0.54999999999999716</v>
      </c>
      <c r="J7" s="28"/>
      <c r="M7" s="19">
        <v>480</v>
      </c>
      <c r="N7" s="19">
        <v>34.42</v>
      </c>
    </row>
    <row r="8" spans="1:16">
      <c r="A8" s="18">
        <v>490</v>
      </c>
      <c r="B8" s="19">
        <v>30.33</v>
      </c>
      <c r="C8" s="19">
        <v>28.3</v>
      </c>
      <c r="D8" s="19">
        <v>31.9</v>
      </c>
      <c r="E8" s="19">
        <f t="shared" si="0"/>
        <v>30.1</v>
      </c>
      <c r="G8" s="19">
        <v>490</v>
      </c>
      <c r="H8" s="19">
        <v>30.54</v>
      </c>
      <c r="I8" s="44">
        <f t="shared" si="1"/>
        <v>0.43999999999999773</v>
      </c>
      <c r="J8" s="28"/>
      <c r="M8" s="19">
        <v>490</v>
      </c>
      <c r="N8" s="19">
        <v>30.45</v>
      </c>
    </row>
    <row r="9" spans="1:16">
      <c r="A9" s="18">
        <v>500</v>
      </c>
      <c r="B9" s="19">
        <v>26.32</v>
      </c>
      <c r="C9" s="19">
        <v>25.2</v>
      </c>
      <c r="D9" s="19">
        <v>27.35</v>
      </c>
      <c r="E9" s="19">
        <f t="shared" si="0"/>
        <v>26.274999999999999</v>
      </c>
      <c r="G9" s="19">
        <v>500</v>
      </c>
      <c r="H9" s="19">
        <v>27.02</v>
      </c>
      <c r="I9" s="44">
        <f t="shared" si="1"/>
        <v>0.74500000000000099</v>
      </c>
      <c r="J9" s="28"/>
      <c r="M9" s="19">
        <v>500</v>
      </c>
      <c r="N9" s="19">
        <v>26.74</v>
      </c>
    </row>
    <row r="10" spans="1:16">
      <c r="E10" s="19"/>
    </row>
    <row r="11" spans="1:16">
      <c r="A11" t="s">
        <v>71</v>
      </c>
      <c r="E11" s="19"/>
      <c r="G11" t="s">
        <v>71</v>
      </c>
      <c r="I11" t="s">
        <v>149</v>
      </c>
      <c r="J11">
        <v>0.2707</v>
      </c>
      <c r="M11" t="s">
        <v>71</v>
      </c>
      <c r="O11" t="s">
        <v>149</v>
      </c>
      <c r="P11">
        <v>0.2707</v>
      </c>
    </row>
    <row r="12" spans="1:16">
      <c r="A12" t="s">
        <v>5</v>
      </c>
      <c r="B12" t="s">
        <v>6</v>
      </c>
      <c r="C12" t="s">
        <v>7</v>
      </c>
      <c r="D12" t="s">
        <v>8</v>
      </c>
      <c r="E12" s="19" t="s">
        <v>150</v>
      </c>
      <c r="G12" t="s">
        <v>5</v>
      </c>
      <c r="H12" t="s">
        <v>55</v>
      </c>
      <c r="I12" s="37" t="s">
        <v>152</v>
      </c>
      <c r="J12" s="37"/>
      <c r="M12" t="s">
        <v>5</v>
      </c>
      <c r="N12" t="s">
        <v>55</v>
      </c>
    </row>
    <row r="13" spans="1:16">
      <c r="A13" s="18">
        <v>460</v>
      </c>
      <c r="B13" s="19">
        <v>30.74</v>
      </c>
      <c r="C13" s="19">
        <v>27.75</v>
      </c>
      <c r="D13" s="19">
        <v>29.45</v>
      </c>
      <c r="E13" s="19">
        <f t="shared" si="0"/>
        <v>28.6</v>
      </c>
      <c r="G13" s="19">
        <v>460</v>
      </c>
      <c r="H13" s="19">
        <v>34.36</v>
      </c>
      <c r="I13" s="44">
        <f xml:space="preserve"> H13-E13</f>
        <v>5.759999999999998</v>
      </c>
      <c r="J13" s="28"/>
      <c r="M13" s="19">
        <v>460</v>
      </c>
      <c r="N13" s="19">
        <v>34.75</v>
      </c>
    </row>
    <row r="14" spans="1:16">
      <c r="A14" s="18">
        <v>470</v>
      </c>
      <c r="B14" s="19">
        <v>34.25</v>
      </c>
      <c r="C14" s="19">
        <v>32.049999999999997</v>
      </c>
      <c r="D14" s="19">
        <v>33.85</v>
      </c>
      <c r="E14" s="19">
        <f t="shared" si="0"/>
        <v>32.950000000000003</v>
      </c>
      <c r="G14" s="19">
        <v>470</v>
      </c>
      <c r="H14" s="19">
        <v>39.380000000000003</v>
      </c>
      <c r="I14" s="44">
        <f t="shared" ref="I14:I17" si="2" xml:space="preserve"> H14-E14</f>
        <v>6.43</v>
      </c>
      <c r="J14" s="28"/>
      <c r="M14" s="19">
        <v>470</v>
      </c>
      <c r="N14" s="19">
        <v>40.049999999999997</v>
      </c>
    </row>
    <row r="15" spans="1:16">
      <c r="A15" s="18">
        <v>480</v>
      </c>
      <c r="B15" s="19">
        <v>38.549999999999997</v>
      </c>
      <c r="C15" s="19">
        <v>36.299999999999997</v>
      </c>
      <c r="D15" s="19">
        <v>37.950000000000003</v>
      </c>
      <c r="E15" s="19">
        <f t="shared" si="0"/>
        <v>37.125</v>
      </c>
      <c r="G15" s="19">
        <v>480</v>
      </c>
      <c r="H15" s="19">
        <v>45.98</v>
      </c>
      <c r="I15" s="44">
        <f t="shared" si="2"/>
        <v>8.8549999999999969</v>
      </c>
      <c r="J15" s="28"/>
      <c r="M15" s="19">
        <v>480</v>
      </c>
      <c r="N15" s="19">
        <v>46.66</v>
      </c>
    </row>
    <row r="16" spans="1:16">
      <c r="A16" s="18">
        <v>490</v>
      </c>
      <c r="B16" s="19" t="s">
        <v>147</v>
      </c>
      <c r="C16" s="19" t="s">
        <v>147</v>
      </c>
      <c r="D16" s="19" t="s">
        <v>147</v>
      </c>
      <c r="E16" s="19"/>
      <c r="G16" s="19">
        <v>490</v>
      </c>
      <c r="H16" s="19">
        <v>52.59</v>
      </c>
      <c r="I16" s="44" t="s">
        <v>147</v>
      </c>
      <c r="J16" s="28"/>
      <c r="M16" s="19">
        <v>490</v>
      </c>
      <c r="N16" s="19">
        <v>53.26</v>
      </c>
    </row>
    <row r="17" spans="1:14">
      <c r="A17" s="18">
        <v>500</v>
      </c>
      <c r="B17" s="19">
        <v>66.150000000000006</v>
      </c>
      <c r="C17" s="19">
        <v>73.900000000000006</v>
      </c>
      <c r="D17" s="19">
        <v>76.95</v>
      </c>
      <c r="E17" s="19">
        <f t="shared" si="0"/>
        <v>75.425000000000011</v>
      </c>
      <c r="G17" s="19">
        <v>500</v>
      </c>
      <c r="H17" s="19">
        <v>59.19</v>
      </c>
      <c r="I17" s="44">
        <f t="shared" si="2"/>
        <v>-16.235000000000014</v>
      </c>
      <c r="J17" s="28"/>
      <c r="M17" s="19">
        <v>500</v>
      </c>
      <c r="N17" s="19">
        <v>59.87</v>
      </c>
    </row>
  </sheetData>
  <mergeCells count="14">
    <mergeCell ref="I17:J17"/>
    <mergeCell ref="A1:E1"/>
    <mergeCell ref="G1:K1"/>
    <mergeCell ref="I4:J4"/>
    <mergeCell ref="I5:J5"/>
    <mergeCell ref="I6:J6"/>
    <mergeCell ref="I7:J7"/>
    <mergeCell ref="I8:J8"/>
    <mergeCell ref="I9:J9"/>
    <mergeCell ref="I12:J12"/>
    <mergeCell ref="I13:J13"/>
    <mergeCell ref="I14:J14"/>
    <mergeCell ref="I15:J15"/>
    <mergeCell ref="I16:J16"/>
  </mergeCells>
  <conditionalFormatting sqref="I5:J9 I13:J15 I17:J17">
    <cfRule type="cellIs" dxfId="7" priority="2" operator="greaterThan">
      <formula>0</formula>
    </cfRule>
  </conditionalFormatting>
  <conditionalFormatting sqref="I5:J9 I13:J15 I17:J17">
    <cfRule type="cellIs" dxfId="6" priority="1" operator="lessThan">
      <formula>0</formula>
    </cfRule>
  </conditionalFormatting>
  <pageMargins left="0.7" right="0.7" top="0.75" bottom="0.7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8A53-0A43-4756-B727-79B380DCA771}">
  <sheetPr>
    <tabColor rgb="FF7030A0"/>
    <pageSetUpPr fitToPage="1"/>
  </sheetPr>
  <dimension ref="A1:K56"/>
  <sheetViews>
    <sheetView zoomScaleNormal="100" workbookViewId="0">
      <selection activeCell="A22" sqref="A22"/>
    </sheetView>
  </sheetViews>
  <sheetFormatPr defaultRowHeight="14.4"/>
  <cols>
    <col min="2" max="2" width="9.44140625" bestFit="1" customWidth="1"/>
  </cols>
  <sheetData>
    <row r="1" spans="1:5">
      <c r="A1" t="s">
        <v>61</v>
      </c>
      <c r="B1" s="1">
        <v>44582</v>
      </c>
      <c r="D1" t="s">
        <v>42</v>
      </c>
      <c r="E1">
        <v>478.23</v>
      </c>
    </row>
    <row r="2" spans="1:5">
      <c r="A2" t="s">
        <v>135</v>
      </c>
      <c r="B2">
        <f xml:space="preserve"> 6/ 52</f>
        <v>0.11538461538461539</v>
      </c>
    </row>
    <row r="3" spans="1:5">
      <c r="A3" t="s">
        <v>43</v>
      </c>
      <c r="B3" s="15">
        <v>4.4999999999999998E-2</v>
      </c>
    </row>
    <row r="6" spans="1:5">
      <c r="A6" t="s">
        <v>156</v>
      </c>
    </row>
    <row r="7" spans="1:5">
      <c r="A7" t="s">
        <v>61</v>
      </c>
      <c r="B7" s="1">
        <v>44582</v>
      </c>
    </row>
    <row r="8" spans="1:5">
      <c r="A8" t="s">
        <v>5</v>
      </c>
      <c r="B8" t="s">
        <v>6</v>
      </c>
      <c r="C8" t="s">
        <v>157</v>
      </c>
      <c r="D8" t="s">
        <v>8</v>
      </c>
      <c r="E8" t="s">
        <v>150</v>
      </c>
    </row>
    <row r="9" spans="1:5">
      <c r="A9" s="18">
        <v>460</v>
      </c>
      <c r="B9" s="19">
        <v>26.94</v>
      </c>
      <c r="C9" s="19">
        <v>26.75</v>
      </c>
      <c r="D9" s="19">
        <v>28.55</v>
      </c>
      <c r="E9" s="19">
        <f xml:space="preserve"> (C9+D9)/2</f>
        <v>27.65</v>
      </c>
    </row>
    <row r="10" spans="1:5">
      <c r="A10" s="18">
        <v>470</v>
      </c>
      <c r="B10" s="19">
        <v>20.8</v>
      </c>
      <c r="C10" s="19">
        <v>20</v>
      </c>
      <c r="D10" s="19">
        <v>21.75</v>
      </c>
      <c r="E10" s="19">
        <f t="shared" ref="E10:E13" si="0" xml:space="preserve"> (C10+D10)/2</f>
        <v>20.875</v>
      </c>
    </row>
    <row r="11" spans="1:5">
      <c r="A11" s="18">
        <v>480</v>
      </c>
      <c r="B11" s="19">
        <v>14.7</v>
      </c>
      <c r="C11" s="19">
        <v>14.5</v>
      </c>
      <c r="D11" s="19">
        <v>15.15</v>
      </c>
      <c r="E11" s="19">
        <f t="shared" si="0"/>
        <v>14.824999999999999</v>
      </c>
    </row>
    <row r="12" spans="1:5">
      <c r="A12" s="18">
        <v>490</v>
      </c>
      <c r="B12" s="19">
        <v>9.65</v>
      </c>
      <c r="C12" s="19">
        <v>9.6999999999999993</v>
      </c>
      <c r="D12" s="19">
        <v>10.4</v>
      </c>
      <c r="E12" s="19">
        <f t="shared" si="0"/>
        <v>10.050000000000001</v>
      </c>
    </row>
    <row r="13" spans="1:5">
      <c r="A13" s="18">
        <v>500</v>
      </c>
      <c r="B13" s="19">
        <v>6.17</v>
      </c>
      <c r="C13" s="19">
        <v>6.1</v>
      </c>
      <c r="D13" s="19">
        <v>7.1</v>
      </c>
      <c r="E13" s="19">
        <f t="shared" si="0"/>
        <v>6.6</v>
      </c>
    </row>
    <row r="15" spans="1:5">
      <c r="A15" t="s">
        <v>158</v>
      </c>
    </row>
    <row r="16" spans="1:5">
      <c r="A16" t="s">
        <v>159</v>
      </c>
      <c r="B16" s="19">
        <v>478.23</v>
      </c>
    </row>
    <row r="17" spans="1:11">
      <c r="A17" t="s">
        <v>153</v>
      </c>
      <c r="B17" t="s">
        <v>154</v>
      </c>
    </row>
    <row r="18" spans="1:11">
      <c r="A18" t="s">
        <v>155</v>
      </c>
      <c r="B18" t="s">
        <v>160</v>
      </c>
    </row>
    <row r="19" spans="1:11">
      <c r="A19" t="s">
        <v>161</v>
      </c>
      <c r="B19" s="25">
        <f>EXP(B3*B2)</f>
        <v>1.0052058110830306</v>
      </c>
    </row>
    <row r="21" spans="1:11">
      <c r="A21" t="s">
        <v>228</v>
      </c>
    </row>
    <row r="23" spans="1:11">
      <c r="A23" t="s">
        <v>162</v>
      </c>
      <c r="G23" t="s">
        <v>130</v>
      </c>
      <c r="I23" t="s">
        <v>5</v>
      </c>
      <c r="J23">
        <v>500</v>
      </c>
    </row>
    <row r="24" spans="1:11">
      <c r="A24" s="15">
        <v>478.23</v>
      </c>
      <c r="B24" s="15"/>
      <c r="C24" s="15"/>
      <c r="D24" s="15"/>
      <c r="E24" s="15"/>
      <c r="G24" s="19">
        <f t="shared" ref="G24:H26" si="1" xml:space="preserve"> MAX((A53 * H25 + (1-A53) *G25) / $B$19, $J$23 - A24)</f>
        <v>26.729607983637578</v>
      </c>
      <c r="H24" s="19"/>
      <c r="I24" s="19"/>
      <c r="J24" s="19"/>
      <c r="K24" s="19"/>
    </row>
    <row r="25" spans="1:11">
      <c r="A25" s="15">
        <v>449.21940000000001</v>
      </c>
      <c r="B25" s="15">
        <v>505.23520000000002</v>
      </c>
      <c r="C25" s="15"/>
      <c r="D25" s="15"/>
      <c r="E25" s="15"/>
      <c r="G25" s="19">
        <f t="shared" si="1"/>
        <v>50.780599999999993</v>
      </c>
      <c r="H25" s="19">
        <f t="shared" si="1"/>
        <v>5.5786288716897259</v>
      </c>
      <c r="I25" s="19"/>
      <c r="J25" s="19"/>
      <c r="K25" s="19"/>
    </row>
    <row r="26" spans="1:11">
      <c r="A26" s="15">
        <v>442.17180000000002</v>
      </c>
      <c r="B26" s="15">
        <v>480.38080000000002</v>
      </c>
      <c r="C26" s="15">
        <v>511.40940000000001</v>
      </c>
      <c r="D26" s="15"/>
      <c r="E26" s="15"/>
      <c r="G26" s="19">
        <f t="shared" si="1"/>
        <v>57.828199999999981</v>
      </c>
      <c r="H26" s="19">
        <f t="shared" ref="H26" si="2" xml:space="preserve"> MAX((B55 * I27 + (1-B55) *H27) / $B$19, $J$23 - B26)</f>
        <v>19.619199999999978</v>
      </c>
      <c r="I26" s="19">
        <f t="shared" ref="I26" si="3" xml:space="preserve"> MAX((C55 * J27 + (1-C55) *I27) / $B$19, $J$23 - C26)</f>
        <v>2.5776896128655888</v>
      </c>
      <c r="J26" s="19"/>
      <c r="K26" s="19"/>
    </row>
    <row r="27" spans="1:11">
      <c r="A27" s="15">
        <v>439.00920000000002</v>
      </c>
      <c r="B27" s="15">
        <v>474.78750000000002</v>
      </c>
      <c r="C27" s="15">
        <v>485.4796</v>
      </c>
      <c r="D27" s="15">
        <v>515.89959999999996</v>
      </c>
      <c r="E27" s="15"/>
      <c r="G27" s="19">
        <f xml:space="preserve"> MAX((A56 * H28 + (1-A56) *G28) / $B$19, $J$23 - A27)</f>
        <v>60.990799999999979</v>
      </c>
      <c r="H27" s="19">
        <f t="shared" ref="H27:J27" si="4" xml:space="preserve"> MAX((B56 * I28 + (1-B56) *H28) / $B$19, $J$23 - B27)</f>
        <v>25.212499999999977</v>
      </c>
      <c r="I27" s="19">
        <f t="shared" si="4"/>
        <v>14.520399999999995</v>
      </c>
      <c r="J27" s="19">
        <f t="shared" si="4"/>
        <v>0.87444779000326911</v>
      </c>
      <c r="K27" s="19"/>
    </row>
    <row r="28" spans="1:11">
      <c r="A28" s="15">
        <v>437.85660000000001</v>
      </c>
      <c r="B28" s="15">
        <v>470</v>
      </c>
      <c r="C28" s="15">
        <v>480</v>
      </c>
      <c r="D28" s="15">
        <v>490</v>
      </c>
      <c r="E28" s="15">
        <v>519.13040000000001</v>
      </c>
      <c r="G28" s="19">
        <f xml:space="preserve"> MAX($J$23 - A28, 0)</f>
        <v>62.143399999999986</v>
      </c>
      <c r="H28" s="19">
        <f t="shared" ref="H28:K28" si="5" xml:space="preserve"> MAX($J$23 - B28, 0)</f>
        <v>30</v>
      </c>
      <c r="I28" s="19">
        <f t="shared" si="5"/>
        <v>20</v>
      </c>
      <c r="J28" s="19">
        <f t="shared" si="5"/>
        <v>10</v>
      </c>
      <c r="K28" s="19">
        <f t="shared" si="5"/>
        <v>0</v>
      </c>
    </row>
    <row r="30" spans="1:11">
      <c r="A30" t="s">
        <v>163</v>
      </c>
    </row>
    <row r="31" spans="1:11">
      <c r="A31">
        <v>0.31947599999999998</v>
      </c>
      <c r="B31">
        <v>7.2374999999999995E-2</v>
      </c>
      <c r="C31">
        <v>0.127661</v>
      </c>
      <c r="D31">
        <v>0.13369200000000001</v>
      </c>
      <c r="E31">
        <v>0.34679599999999999</v>
      </c>
    </row>
    <row r="33" spans="1:5">
      <c r="A33" t="s">
        <v>164</v>
      </c>
    </row>
    <row r="34" spans="1:5">
      <c r="A34" s="15">
        <v>1</v>
      </c>
      <c r="B34" s="15"/>
      <c r="C34" s="15"/>
      <c r="D34" s="15"/>
      <c r="E34" s="15"/>
    </row>
    <row r="35" spans="1:5">
      <c r="A35" s="15">
        <v>0.47099999999999997</v>
      </c>
      <c r="B35" s="15">
        <v>0.52900000000000003</v>
      </c>
      <c r="C35" s="15"/>
      <c r="D35" s="15"/>
      <c r="E35" s="15"/>
    </row>
    <row r="36" spans="1:5">
      <c r="A36" s="15">
        <v>0.37690000000000001</v>
      </c>
      <c r="B36" s="15">
        <v>9.4100000000000003E-2</v>
      </c>
      <c r="C36" s="15">
        <v>0.43490000000000001</v>
      </c>
      <c r="D36" s="15"/>
      <c r="E36" s="15"/>
    </row>
    <row r="37" spans="1:5">
      <c r="A37" s="15">
        <v>0.33760000000000001</v>
      </c>
      <c r="B37" s="15">
        <v>3.9399999999999998E-2</v>
      </c>
      <c r="C37" s="15">
        <v>5.4699999999999999E-2</v>
      </c>
      <c r="D37" s="15">
        <v>0.38019999999999998</v>
      </c>
      <c r="E37" s="15"/>
    </row>
    <row r="38" spans="1:5">
      <c r="A38" s="15">
        <v>0.31950000000000001</v>
      </c>
      <c r="B38" s="15">
        <v>1.8100000000000002E-2</v>
      </c>
      <c r="C38" s="15">
        <v>2.1299999999999999E-2</v>
      </c>
      <c r="D38" s="15">
        <v>3.3399999999999999E-2</v>
      </c>
      <c r="E38" s="15">
        <v>0.3468</v>
      </c>
    </row>
    <row r="40" spans="1:5">
      <c r="A40" t="s">
        <v>165</v>
      </c>
    </row>
    <row r="41" spans="1:5">
      <c r="A41" s="15">
        <v>1.0565</v>
      </c>
      <c r="B41" s="15"/>
      <c r="C41" s="15"/>
      <c r="D41" s="15"/>
    </row>
    <row r="42" spans="1:5">
      <c r="A42" s="15">
        <v>1.0693999999999999</v>
      </c>
      <c r="B42" s="15">
        <v>1.0122</v>
      </c>
      <c r="C42" s="15"/>
      <c r="D42" s="15"/>
    </row>
    <row r="43" spans="1:5">
      <c r="A43" s="15">
        <v>1.0738000000000001</v>
      </c>
      <c r="B43" s="15">
        <v>1.0105999999999999</v>
      </c>
      <c r="C43" s="15">
        <v>1.0087999999999999</v>
      </c>
      <c r="D43" s="15"/>
    </row>
    <row r="44" spans="1:5">
      <c r="A44" s="15">
        <v>1.0706</v>
      </c>
      <c r="B44" s="15">
        <v>1.0109999999999999</v>
      </c>
      <c r="C44" s="15">
        <v>1.0093000000000001</v>
      </c>
      <c r="D44" s="15">
        <v>1.0063</v>
      </c>
    </row>
    <row r="46" spans="1:5">
      <c r="A46" t="s">
        <v>166</v>
      </c>
    </row>
    <row r="47" spans="1:5">
      <c r="A47">
        <v>0.93930000000000002</v>
      </c>
    </row>
    <row r="48" spans="1:5">
      <c r="A48">
        <v>0.98429999999999995</v>
      </c>
      <c r="B48">
        <v>0.95079999999999998</v>
      </c>
    </row>
    <row r="49" spans="1:4">
      <c r="A49">
        <v>0.99280000000000002</v>
      </c>
      <c r="B49">
        <v>0.98839999999999995</v>
      </c>
      <c r="C49">
        <v>0.94930000000000003</v>
      </c>
    </row>
    <row r="50" spans="1:4">
      <c r="A50">
        <v>0.99739999999999995</v>
      </c>
      <c r="B50">
        <v>0.9899</v>
      </c>
      <c r="C50">
        <v>0.98870000000000002</v>
      </c>
      <c r="D50">
        <v>0.94979999999999998</v>
      </c>
    </row>
    <row r="52" spans="1:4">
      <c r="A52" t="s">
        <v>167</v>
      </c>
    </row>
    <row r="53" spans="1:4">
      <c r="A53" s="15">
        <v>0.52900000000000003</v>
      </c>
      <c r="B53" s="15"/>
      <c r="C53" s="15"/>
      <c r="D53" s="15"/>
    </row>
    <row r="54" spans="1:4">
      <c r="A54" s="15">
        <v>0.19969999999999999</v>
      </c>
      <c r="B54" s="15">
        <v>0.82220000000000004</v>
      </c>
      <c r="C54" s="15"/>
      <c r="D54" s="15"/>
    </row>
    <row r="55" spans="1:4">
      <c r="A55" s="15">
        <v>0.10440000000000001</v>
      </c>
      <c r="B55" s="15">
        <v>0.58150000000000002</v>
      </c>
      <c r="C55" s="15">
        <v>0.87419999999999998</v>
      </c>
      <c r="D55" s="15"/>
    </row>
    <row r="56" spans="1:4">
      <c r="A56" s="15">
        <v>5.3600000000000002E-2</v>
      </c>
      <c r="B56" s="15">
        <v>0.54039999999999999</v>
      </c>
      <c r="C56" s="15">
        <v>0.61099999999999999</v>
      </c>
      <c r="D56" s="15">
        <v>0.91210000000000002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Notes</vt:lpstr>
      <vt:lpstr>Stock Info</vt:lpstr>
      <vt:lpstr>Options Data</vt:lpstr>
      <vt:lpstr>CRR IV</vt:lpstr>
      <vt:lpstr>BS IV</vt:lpstr>
      <vt:lpstr>IV Compiled</vt:lpstr>
      <vt:lpstr>CRR Dividend Pricing</vt:lpstr>
      <vt:lpstr>Divided Prices Compiled</vt:lpstr>
      <vt:lpstr>Implied Tree</vt:lpstr>
      <vt:lpstr>Implied Tree Compiled</vt:lpstr>
      <vt:lpstr>d_1</vt:lpstr>
      <vt:lpstr>d_2</vt:lpstr>
      <vt:lpstr>dt</vt:lpstr>
      <vt:lpstr>K</vt:lpstr>
      <vt:lpstr>rfr</vt:lpstr>
      <vt:lpstr>S0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greenfield</dc:creator>
  <cp:lastModifiedBy>henry</cp:lastModifiedBy>
  <cp:lastPrinted>2022-05-25T17:28:58Z</cp:lastPrinted>
  <dcterms:created xsi:type="dcterms:W3CDTF">2021-12-09T17:42:53Z</dcterms:created>
  <dcterms:modified xsi:type="dcterms:W3CDTF">2022-05-25T17:28:58Z</dcterms:modified>
</cp:coreProperties>
</file>