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I:\clienten\H\Harmonisch wonen\Fuseren of Parachuteren\Business case\"/>
    </mc:Choice>
  </mc:AlternateContent>
  <xr:revisionPtr revIDLastSave="0" documentId="13_ncr:1_{0CD2EE7D-E8EC-4BEF-B30A-7D129C78781B}" xr6:coauthVersionLast="47" xr6:coauthVersionMax="47" xr10:uidLastSave="{00000000-0000-0000-0000-000000000000}"/>
  <bookViews>
    <workbookView xWindow="-120" yWindow="-120" windowWidth="29040" windowHeight="15840" xr2:uid="{304B900E-F3C4-4E78-9C5A-2E104169B527}"/>
  </bookViews>
  <sheets>
    <sheet name="Blad1" sheetId="1" r:id="rId1"/>
  </sheets>
  <externalReferences>
    <externalReference r:id="rId2"/>
    <externalReference r:id="rId3"/>
  </externalReferences>
  <definedNames>
    <definedName name="_xlnm.Print_Area" localSheetId="0">Blad1!$A$14:$BK$46</definedName>
    <definedName name="_xlnm.Print_Titles" localSheetId="0">Blad1!$A:$A,Blad1!$15:$16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3" i="1" l="1"/>
  <c r="M81" i="1"/>
  <c r="AI79" i="1"/>
  <c r="AI78" i="1"/>
  <c r="M80" i="1"/>
  <c r="M79" i="1"/>
  <c r="M78" i="1"/>
  <c r="AZ69" i="1"/>
  <c r="AM69" i="1"/>
  <c r="BA69" i="1"/>
  <c r="AN69" i="1"/>
  <c r="AA69" i="1"/>
  <c r="Z69" i="1"/>
  <c r="Q69" i="1"/>
  <c r="R69" i="1"/>
  <c r="S69" i="1" s="1"/>
  <c r="Q70" i="1"/>
  <c r="R70" i="1"/>
  <c r="S70" i="1"/>
  <c r="T70" i="1"/>
  <c r="U70" i="1"/>
  <c r="V70" i="1"/>
  <c r="W70" i="1"/>
  <c r="X70" i="1"/>
  <c r="Q71" i="1"/>
  <c r="R71" i="1"/>
  <c r="P70" i="1"/>
  <c r="P69" i="1"/>
  <c r="P71" i="1" s="1"/>
  <c r="O69" i="1"/>
  <c r="O70" i="1"/>
  <c r="O71" i="1"/>
  <c r="F69" i="1"/>
  <c r="G69" i="1" s="1"/>
  <c r="E69" i="1"/>
  <c r="E70" i="1"/>
  <c r="F70" i="1"/>
  <c r="G70" i="1"/>
  <c r="H70" i="1"/>
  <c r="I70" i="1"/>
  <c r="J70" i="1"/>
  <c r="K70" i="1"/>
  <c r="L70" i="1"/>
  <c r="M70" i="1"/>
  <c r="E71" i="1"/>
  <c r="D71" i="1"/>
  <c r="D70" i="1"/>
  <c r="BB69" i="1" l="1"/>
  <c r="AO69" i="1"/>
  <c r="AB69" i="1"/>
  <c r="S71" i="1"/>
  <c r="T69" i="1"/>
  <c r="H69" i="1"/>
  <c r="G71" i="1"/>
  <c r="F71" i="1"/>
  <c r="BC69" i="1" l="1"/>
  <c r="AP69" i="1"/>
  <c r="AC69" i="1"/>
  <c r="U69" i="1"/>
  <c r="T71" i="1"/>
  <c r="I69" i="1"/>
  <c r="H71" i="1"/>
  <c r="BD69" i="1" l="1"/>
  <c r="AQ69" i="1"/>
  <c r="AD69" i="1"/>
  <c r="U71" i="1"/>
  <c r="V69" i="1"/>
  <c r="J69" i="1"/>
  <c r="I71" i="1"/>
  <c r="BE69" i="1" l="1"/>
  <c r="AR69" i="1"/>
  <c r="AE69" i="1"/>
  <c r="W69" i="1"/>
  <c r="V71" i="1"/>
  <c r="K69" i="1"/>
  <c r="J71" i="1"/>
  <c r="BF69" i="1" l="1"/>
  <c r="AS69" i="1"/>
  <c r="AF69" i="1"/>
  <c r="W71" i="1"/>
  <c r="X69" i="1"/>
  <c r="X71" i="1" s="1"/>
  <c r="L69" i="1"/>
  <c r="K71" i="1"/>
  <c r="BG69" i="1" l="1"/>
  <c r="AT69" i="1"/>
  <c r="AG69" i="1"/>
  <c r="M69" i="1"/>
  <c r="M71" i="1" s="1"/>
  <c r="L71" i="1"/>
  <c r="BH69" i="1" l="1"/>
  <c r="AU69" i="1"/>
  <c r="AH69" i="1"/>
  <c r="BI69" i="1" l="1"/>
  <c r="AV69" i="1"/>
  <c r="AI69" i="1"/>
  <c r="D1" i="1" l="1"/>
  <c r="B4" i="1" l="1"/>
  <c r="B2" i="1" s="1"/>
  <c r="B1" i="1" s="1"/>
  <c r="D4" i="1"/>
  <c r="D59" i="1" l="1"/>
  <c r="E59" i="1" s="1"/>
  <c r="F59" i="1" s="1"/>
  <c r="G59" i="1" s="1"/>
  <c r="D64" i="1"/>
  <c r="E64" i="1" s="1"/>
  <c r="F64" i="1" s="1"/>
  <c r="G64" i="1" s="1"/>
  <c r="H64" i="1" s="1"/>
  <c r="I64" i="1" s="1"/>
  <c r="J64" i="1" s="1"/>
  <c r="K64" i="1" s="1"/>
  <c r="L64" i="1" s="1"/>
  <c r="M64" i="1" s="1"/>
  <c r="O64" i="1" s="1"/>
  <c r="P64" i="1" s="1"/>
  <c r="Q64" i="1" s="1"/>
  <c r="R64" i="1" s="1"/>
  <c r="S64" i="1" s="1"/>
  <c r="T64" i="1" s="1"/>
  <c r="U64" i="1" s="1"/>
  <c r="V64" i="1" s="1"/>
  <c r="W64" i="1" s="1"/>
  <c r="X64" i="1" s="1"/>
  <c r="Z64" i="1" s="1"/>
  <c r="AA64" i="1" s="1"/>
  <c r="AB64" i="1" s="1"/>
  <c r="AC64" i="1" s="1"/>
  <c r="AD64" i="1" s="1"/>
  <c r="AE64" i="1" s="1"/>
  <c r="AF64" i="1" s="1"/>
  <c r="AG64" i="1" s="1"/>
  <c r="AH64" i="1" s="1"/>
  <c r="AI64" i="1" s="1"/>
  <c r="AM64" i="1" s="1"/>
  <c r="AN64" i="1" s="1"/>
  <c r="AO64" i="1" s="1"/>
  <c r="AP64" i="1" s="1"/>
  <c r="AQ64" i="1" s="1"/>
  <c r="AR64" i="1" s="1"/>
  <c r="AS64" i="1" s="1"/>
  <c r="AT64" i="1" s="1"/>
  <c r="AU64" i="1" s="1"/>
  <c r="AV64" i="1" s="1"/>
  <c r="AK61" i="1"/>
  <c r="BO23" i="1" s="1"/>
  <c r="D58" i="1"/>
  <c r="D24" i="1" s="1"/>
  <c r="H59" i="1" l="1"/>
  <c r="I59" i="1" s="1"/>
  <c r="J59" i="1" s="1"/>
  <c r="K59" i="1" s="1"/>
  <c r="L59" i="1" s="1"/>
  <c r="M59" i="1" s="1"/>
  <c r="O59" i="1" s="1"/>
  <c r="P59" i="1" s="1"/>
  <c r="Q59" i="1" s="1"/>
  <c r="R59" i="1" s="1"/>
  <c r="S59" i="1" s="1"/>
  <c r="T59" i="1" s="1"/>
  <c r="U59" i="1" s="1"/>
  <c r="V59" i="1" s="1"/>
  <c r="W59" i="1" s="1"/>
  <c r="X59" i="1" s="1"/>
  <c r="Z59" i="1" s="1"/>
  <c r="AA59" i="1" s="1"/>
  <c r="AB59" i="1" s="1"/>
  <c r="AC59" i="1" s="1"/>
  <c r="AD59" i="1" s="1"/>
  <c r="AE59" i="1" s="1"/>
  <c r="AF59" i="1" s="1"/>
  <c r="AG59" i="1" s="1"/>
  <c r="AH59" i="1" s="1"/>
  <c r="AI59" i="1" s="1"/>
  <c r="AM59" i="1" s="1"/>
  <c r="AN59" i="1" s="1"/>
  <c r="AO59" i="1" s="1"/>
  <c r="AP59" i="1" s="1"/>
  <c r="AQ59" i="1" s="1"/>
  <c r="AR59" i="1" s="1"/>
  <c r="AS59" i="1" s="1"/>
  <c r="AT59" i="1" s="1"/>
  <c r="AU59" i="1" s="1"/>
  <c r="AV59" i="1" s="1"/>
  <c r="AZ59" i="1" s="1"/>
  <c r="BA59" i="1" s="1"/>
  <c r="BB59" i="1" s="1"/>
  <c r="G21" i="1"/>
  <c r="F21" i="1"/>
  <c r="D21" i="1"/>
  <c r="E21" i="1"/>
  <c r="D26" i="1"/>
  <c r="D27" i="1"/>
  <c r="D25" i="1"/>
  <c r="E58" i="1"/>
  <c r="D23" i="1"/>
  <c r="D22" i="1"/>
  <c r="T21" i="1" l="1"/>
  <c r="I21" i="1"/>
  <c r="K21" i="1"/>
  <c r="H21" i="1"/>
  <c r="AF21" i="1"/>
  <c r="J21" i="1"/>
  <c r="X21" i="1"/>
  <c r="O21" i="1"/>
  <c r="L21" i="1"/>
  <c r="AG21" i="1"/>
  <c r="AN21" i="1"/>
  <c r="AI21" i="1"/>
  <c r="AA21" i="1"/>
  <c r="AS21" i="1"/>
  <c r="Z21" i="1"/>
  <c r="W21" i="1"/>
  <c r="AT21" i="1"/>
  <c r="AZ21" i="1"/>
  <c r="BA21" i="1"/>
  <c r="AC21" i="1"/>
  <c r="AE21" i="1"/>
  <c r="AO21" i="1"/>
  <c r="AH21" i="1"/>
  <c r="AP21" i="1"/>
  <c r="AD21" i="1"/>
  <c r="AB21" i="1"/>
  <c r="U21" i="1"/>
  <c r="S21" i="1"/>
  <c r="Q21" i="1"/>
  <c r="V21" i="1"/>
  <c r="M21" i="1"/>
  <c r="P21" i="1"/>
  <c r="R21" i="1"/>
  <c r="AQ21" i="1"/>
  <c r="AU21" i="1"/>
  <c r="AV21" i="1"/>
  <c r="AM21" i="1"/>
  <c r="AR21" i="1"/>
  <c r="BC59" i="1"/>
  <c r="BB21" i="1"/>
  <c r="D29" i="1"/>
  <c r="E26" i="1"/>
  <c r="F58" i="1"/>
  <c r="E25" i="1"/>
  <c r="E23" i="1"/>
  <c r="E22" i="1"/>
  <c r="E27" i="1"/>
  <c r="E24" i="1"/>
  <c r="BD59" i="1" l="1"/>
  <c r="BC21" i="1"/>
  <c r="F27" i="1"/>
  <c r="F25" i="1"/>
  <c r="F24" i="1"/>
  <c r="F26" i="1"/>
  <c r="F23" i="1"/>
  <c r="F22" i="1"/>
  <c r="G58" i="1"/>
  <c r="BE59" i="1" l="1"/>
  <c r="BD21" i="1"/>
  <c r="G22" i="1"/>
  <c r="G27" i="1"/>
  <c r="G26" i="1"/>
  <c r="G25" i="1"/>
  <c r="G24" i="1"/>
  <c r="H58" i="1"/>
  <c r="G23" i="1"/>
  <c r="BF59" i="1" l="1"/>
  <c r="BE21" i="1"/>
  <c r="H24" i="1"/>
  <c r="H23" i="1"/>
  <c r="H25" i="1"/>
  <c r="H22" i="1"/>
  <c r="H27" i="1"/>
  <c r="I58" i="1"/>
  <c r="H26" i="1"/>
  <c r="BG59" i="1" l="1"/>
  <c r="BF21" i="1"/>
  <c r="I26" i="1"/>
  <c r="I25" i="1"/>
  <c r="I23" i="1"/>
  <c r="J58" i="1"/>
  <c r="I22" i="1"/>
  <c r="I27" i="1"/>
  <c r="I24" i="1"/>
  <c r="BH59" i="1" l="1"/>
  <c r="BG21" i="1"/>
  <c r="J27" i="1"/>
  <c r="J26" i="1"/>
  <c r="J25" i="1"/>
  <c r="K58" i="1"/>
  <c r="J24" i="1"/>
  <c r="J23" i="1"/>
  <c r="J22" i="1"/>
  <c r="BI59" i="1" l="1"/>
  <c r="BH21" i="1"/>
  <c r="K22" i="1"/>
  <c r="L58" i="1"/>
  <c r="K27" i="1"/>
  <c r="K23" i="1"/>
  <c r="K26" i="1"/>
  <c r="K25" i="1"/>
  <c r="K24" i="1"/>
  <c r="BI21" i="1" l="1"/>
  <c r="L24" i="1"/>
  <c r="L22" i="1"/>
  <c r="L23" i="1"/>
  <c r="M58" i="1"/>
  <c r="L27" i="1"/>
  <c r="L26" i="1"/>
  <c r="L25" i="1"/>
  <c r="O58" i="1" l="1"/>
  <c r="M26" i="1"/>
  <c r="M27" i="1"/>
  <c r="M25" i="1"/>
  <c r="M24" i="1"/>
  <c r="M23" i="1"/>
  <c r="M22" i="1"/>
  <c r="O26" i="1" l="1"/>
  <c r="O25" i="1"/>
  <c r="O24" i="1"/>
  <c r="O23" i="1"/>
  <c r="P58" i="1"/>
  <c r="O22" i="1"/>
  <c r="O27" i="1"/>
  <c r="Q58" i="1" l="1"/>
  <c r="P22" i="1"/>
  <c r="P27" i="1"/>
  <c r="P23" i="1"/>
  <c r="P26" i="1"/>
  <c r="P25" i="1"/>
  <c r="P24" i="1"/>
  <c r="R58" i="1" l="1"/>
  <c r="Q24" i="1"/>
  <c r="Q23" i="1"/>
  <c r="Q22" i="1"/>
  <c r="Q27" i="1"/>
  <c r="Q26" i="1"/>
  <c r="Q25" i="1"/>
  <c r="S58" i="1" l="1"/>
  <c r="R26" i="1"/>
  <c r="R24" i="1"/>
  <c r="R25" i="1"/>
  <c r="R23" i="1"/>
  <c r="R22" i="1"/>
  <c r="R27" i="1"/>
  <c r="T58" i="1" l="1"/>
  <c r="S27" i="1"/>
  <c r="S26" i="1"/>
  <c r="S25" i="1"/>
  <c r="S24" i="1"/>
  <c r="S23" i="1"/>
  <c r="S22" i="1"/>
  <c r="U58" i="1" l="1"/>
  <c r="T22" i="1"/>
  <c r="T27" i="1"/>
  <c r="T26" i="1"/>
  <c r="T25" i="1"/>
  <c r="T23" i="1"/>
  <c r="T24" i="1"/>
  <c r="V58" i="1" l="1"/>
  <c r="U24" i="1"/>
  <c r="U22" i="1"/>
  <c r="U23" i="1"/>
  <c r="U27" i="1"/>
  <c r="U26" i="1"/>
  <c r="U25" i="1"/>
  <c r="W58" i="1" l="1"/>
  <c r="V26" i="1"/>
  <c r="V25" i="1"/>
  <c r="V24" i="1"/>
  <c r="V23" i="1"/>
  <c r="V27" i="1"/>
  <c r="V22" i="1"/>
  <c r="X58" i="1" l="1"/>
  <c r="W26" i="1"/>
  <c r="W27" i="1"/>
  <c r="W25" i="1"/>
  <c r="W24" i="1"/>
  <c r="W23" i="1"/>
  <c r="W22" i="1"/>
  <c r="X22" i="1" l="1"/>
  <c r="X27" i="1"/>
  <c r="X26" i="1"/>
  <c r="X25" i="1"/>
  <c r="X23" i="1"/>
  <c r="X24" i="1"/>
  <c r="Z58" i="1"/>
  <c r="AA58" i="1" l="1"/>
  <c r="Z24" i="1"/>
  <c r="Z23" i="1"/>
  <c r="Z22" i="1"/>
  <c r="Z25" i="1"/>
  <c r="Z27" i="1"/>
  <c r="Z26" i="1"/>
  <c r="Z29" i="1" l="1"/>
  <c r="AB58" i="1"/>
  <c r="AA26" i="1"/>
  <c r="AA24" i="1"/>
  <c r="AA25" i="1"/>
  <c r="AA23" i="1"/>
  <c r="AA22" i="1"/>
  <c r="AA27" i="1"/>
  <c r="AA29" i="1" l="1"/>
  <c r="AC58" i="1"/>
  <c r="AB27" i="1"/>
  <c r="AB26" i="1"/>
  <c r="AB25" i="1"/>
  <c r="AB24" i="1"/>
  <c r="AB23" i="1"/>
  <c r="AB22" i="1"/>
  <c r="AB29" i="1" l="1"/>
  <c r="AD58" i="1"/>
  <c r="AC22" i="1"/>
  <c r="AC27" i="1"/>
  <c r="AC23" i="1"/>
  <c r="AC26" i="1"/>
  <c r="AC25" i="1"/>
  <c r="AC24" i="1"/>
  <c r="AC29" i="1" l="1"/>
  <c r="AE58" i="1"/>
  <c r="AD24" i="1"/>
  <c r="AD22" i="1"/>
  <c r="AD23" i="1"/>
  <c r="AD27" i="1"/>
  <c r="AD25" i="1"/>
  <c r="AD26" i="1"/>
  <c r="AD29" i="1" l="1"/>
  <c r="AF58" i="1"/>
  <c r="AE26" i="1"/>
  <c r="AE24" i="1"/>
  <c r="AE25" i="1"/>
  <c r="AE23" i="1"/>
  <c r="AE22" i="1"/>
  <c r="AE27" i="1"/>
  <c r="AE29" i="1" l="1"/>
  <c r="AG58" i="1"/>
  <c r="AF27" i="1"/>
  <c r="AF26" i="1"/>
  <c r="AF25" i="1"/>
  <c r="AF24" i="1"/>
  <c r="AF23" i="1"/>
  <c r="AF22" i="1"/>
  <c r="AF29" i="1" l="1"/>
  <c r="AH58" i="1"/>
  <c r="AG22" i="1"/>
  <c r="AG27" i="1"/>
  <c r="AG23" i="1"/>
  <c r="AG26" i="1"/>
  <c r="AG25" i="1"/>
  <c r="AG24" i="1"/>
  <c r="AI58" i="1" l="1"/>
  <c r="AH24" i="1"/>
  <c r="AH22" i="1"/>
  <c r="AH23" i="1"/>
  <c r="AH25" i="1"/>
  <c r="AH27" i="1"/>
  <c r="AH26" i="1"/>
  <c r="AG29" i="1"/>
  <c r="AH29" i="1" l="1"/>
  <c r="AI26" i="1"/>
  <c r="AI25" i="1"/>
  <c r="AI24" i="1"/>
  <c r="AI23" i="1"/>
  <c r="AI27" i="1"/>
  <c r="AI22" i="1"/>
  <c r="AM58" i="1"/>
  <c r="AI29" i="1" l="1"/>
  <c r="AM26" i="1"/>
  <c r="AM27" i="1"/>
  <c r="AM25" i="1"/>
  <c r="AM24" i="1"/>
  <c r="AN58" i="1"/>
  <c r="AM23" i="1"/>
  <c r="AM22" i="1"/>
  <c r="AO58" i="1" l="1"/>
  <c r="AN22" i="1"/>
  <c r="AN27" i="1"/>
  <c r="AN26" i="1"/>
  <c r="AN25" i="1"/>
  <c r="AN24" i="1"/>
  <c r="AN23" i="1"/>
  <c r="AP58" i="1" l="1"/>
  <c r="AO24" i="1"/>
  <c r="AO23" i="1"/>
  <c r="AO22" i="1"/>
  <c r="AO27" i="1"/>
  <c r="AO25" i="1"/>
  <c r="AO26" i="1"/>
  <c r="AQ58" i="1" l="1"/>
  <c r="AP25" i="1"/>
  <c r="AP23" i="1"/>
  <c r="AP24" i="1"/>
  <c r="AP22" i="1"/>
  <c r="AP26" i="1"/>
  <c r="AP27" i="1"/>
  <c r="AR58" i="1" l="1"/>
  <c r="AQ26" i="1"/>
  <c r="AQ25" i="1"/>
  <c r="AQ24" i="1"/>
  <c r="AQ23" i="1"/>
  <c r="AQ22" i="1"/>
  <c r="AQ27" i="1"/>
  <c r="AS58" i="1" l="1"/>
  <c r="AR26" i="1"/>
  <c r="AR27" i="1"/>
  <c r="AR25" i="1"/>
  <c r="AR24" i="1"/>
  <c r="AR23" i="1"/>
  <c r="AR22" i="1"/>
  <c r="AT58" i="1" l="1"/>
  <c r="AS22" i="1"/>
  <c r="AS27" i="1"/>
  <c r="AS26" i="1"/>
  <c r="AS25" i="1"/>
  <c r="AS23" i="1"/>
  <c r="AS24" i="1"/>
  <c r="AU58" i="1" l="1"/>
  <c r="AT24" i="1"/>
  <c r="AT23" i="1"/>
  <c r="AT22" i="1"/>
  <c r="AT25" i="1"/>
  <c r="AT27" i="1"/>
  <c r="AT26" i="1"/>
  <c r="AV58" i="1" l="1"/>
  <c r="AU26" i="1"/>
  <c r="AU24" i="1"/>
  <c r="AU25" i="1"/>
  <c r="AU23" i="1"/>
  <c r="AU22" i="1"/>
  <c r="AU27" i="1"/>
  <c r="AV27" i="1" l="1"/>
  <c r="AV26" i="1"/>
  <c r="AV25" i="1"/>
  <c r="AZ58" i="1"/>
  <c r="AV24" i="1"/>
  <c r="AV23" i="1"/>
  <c r="AV22" i="1"/>
  <c r="BA58" i="1" l="1"/>
  <c r="AZ22" i="1"/>
  <c r="AZ27" i="1"/>
  <c r="AZ26" i="1"/>
  <c r="AZ25" i="1"/>
  <c r="AZ23" i="1"/>
  <c r="AZ24" i="1"/>
  <c r="BB58" i="1" l="1"/>
  <c r="BA24" i="1"/>
  <c r="BA22" i="1"/>
  <c r="BA23" i="1"/>
  <c r="BA27" i="1"/>
  <c r="BA26" i="1"/>
  <c r="BA25" i="1"/>
  <c r="BC58" i="1" l="1"/>
  <c r="BB26" i="1"/>
  <c r="BB25" i="1"/>
  <c r="BB24" i="1"/>
  <c r="BB23" i="1"/>
  <c r="BB22" i="1"/>
  <c r="BB27" i="1"/>
  <c r="BD58" i="1" l="1"/>
  <c r="BC26" i="1"/>
  <c r="BC27" i="1"/>
  <c r="BC25" i="1"/>
  <c r="BC24" i="1"/>
  <c r="BC23" i="1"/>
  <c r="BC22" i="1"/>
  <c r="BE58" i="1" l="1"/>
  <c r="BD22" i="1"/>
  <c r="BD27" i="1"/>
  <c r="BD26" i="1"/>
  <c r="BD23" i="1"/>
  <c r="BD25" i="1"/>
  <c r="BD24" i="1"/>
  <c r="BF58" i="1" l="1"/>
  <c r="BE24" i="1"/>
  <c r="BE23" i="1"/>
  <c r="BE22" i="1"/>
  <c r="BE27" i="1"/>
  <c r="BE26" i="1"/>
  <c r="BE25" i="1"/>
  <c r="BG58" i="1" l="1"/>
  <c r="BF26" i="1"/>
  <c r="BF25" i="1"/>
  <c r="BF24" i="1"/>
  <c r="BF23" i="1"/>
  <c r="BF27" i="1"/>
  <c r="BF22" i="1"/>
  <c r="BH58" i="1" l="1"/>
  <c r="BG26" i="1"/>
  <c r="BG27" i="1"/>
  <c r="BG25" i="1"/>
  <c r="BG24" i="1"/>
  <c r="BG23" i="1"/>
  <c r="BG22" i="1"/>
  <c r="BI58" i="1" l="1"/>
  <c r="BI66" i="1" s="1"/>
  <c r="BH22" i="1"/>
  <c r="BH27" i="1"/>
  <c r="BH26" i="1"/>
  <c r="BH25" i="1"/>
  <c r="BH23" i="1"/>
  <c r="BH24" i="1"/>
  <c r="BI24" i="1" l="1"/>
  <c r="BI23" i="1"/>
  <c r="BI22" i="1"/>
  <c r="BI27" i="1"/>
  <c r="BI26" i="1"/>
  <c r="BI25" i="1"/>
  <c r="AX61" i="1" l="1"/>
  <c r="BN23" i="1" s="1"/>
  <c r="BK61" i="1"/>
  <c r="BM23" i="1" s="1"/>
  <c r="E17" i="1"/>
  <c r="F17" i="1" s="1"/>
  <c r="G17" i="1" s="1"/>
  <c r="H17" i="1" s="1"/>
  <c r="I17" i="1" s="1"/>
  <c r="J17" i="1" s="1"/>
  <c r="K17" i="1" s="1"/>
  <c r="L17" i="1" s="1"/>
  <c r="M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Z17" i="1" s="1"/>
  <c r="AA17" i="1" s="1"/>
  <c r="AB17" i="1" s="1"/>
  <c r="AC17" i="1" s="1"/>
  <c r="AD17" i="1" s="1"/>
  <c r="AE17" i="1" s="1"/>
  <c r="AF17" i="1" s="1"/>
  <c r="AG17" i="1" s="1"/>
  <c r="AH17" i="1" s="1"/>
  <c r="AI17" i="1" s="1"/>
  <c r="AM17" i="1" s="1"/>
  <c r="AN17" i="1" s="1"/>
  <c r="AO17" i="1" s="1"/>
  <c r="AP17" i="1" s="1"/>
  <c r="AQ17" i="1" s="1"/>
  <c r="AR17" i="1" s="1"/>
  <c r="AS17" i="1" s="1"/>
  <c r="AT17" i="1" s="1"/>
  <c r="AU17" i="1" s="1"/>
  <c r="AV17" i="1" s="1"/>
  <c r="AZ17" i="1" s="1"/>
  <c r="BA17" i="1" s="1"/>
  <c r="BB17" i="1" s="1"/>
  <c r="BC17" i="1" s="1"/>
  <c r="BD17" i="1" s="1"/>
  <c r="BE17" i="1" s="1"/>
  <c r="BF17" i="1" s="1"/>
  <c r="BG17" i="1" s="1"/>
  <c r="BH17" i="1" s="1"/>
  <c r="BI17" i="1" s="1"/>
  <c r="D12" i="1"/>
  <c r="E29" i="1" l="1"/>
  <c r="F29" i="1" l="1"/>
  <c r="G29" i="1"/>
  <c r="H29" i="1" l="1"/>
  <c r="I29" i="1" l="1"/>
  <c r="J29" i="1" l="1"/>
  <c r="K29" i="1" l="1"/>
  <c r="L29" i="1" l="1"/>
  <c r="O29" i="1" l="1"/>
  <c r="M29" i="1"/>
  <c r="P29" i="1"/>
  <c r="Q29" i="1" l="1"/>
  <c r="R29" i="1" l="1"/>
  <c r="S29" i="1" l="1"/>
  <c r="T29" i="1" l="1"/>
  <c r="U29" i="1" l="1"/>
  <c r="V29" i="1" l="1"/>
  <c r="W29" i="1" l="1"/>
  <c r="X29" i="1" l="1"/>
  <c r="AM29" i="1" l="1"/>
  <c r="AN29" i="1" l="1"/>
  <c r="AO29" i="1" l="1"/>
  <c r="AP29" i="1" l="1"/>
  <c r="AQ29" i="1" l="1"/>
  <c r="AR29" i="1" l="1"/>
  <c r="AS29" i="1" l="1"/>
  <c r="AT29" i="1" l="1"/>
  <c r="AU29" i="1" l="1"/>
  <c r="AV29" i="1" l="1"/>
  <c r="AZ29" i="1" l="1"/>
  <c r="BA29" i="1" l="1"/>
  <c r="BC29" i="1" l="1"/>
  <c r="BD29" i="1" l="1"/>
  <c r="BE29" i="1" l="1"/>
  <c r="BF29" i="1" l="1"/>
  <c r="BG29" i="1" l="1"/>
  <c r="BH29" i="1" l="1"/>
  <c r="BI29" i="1" l="1"/>
  <c r="B16" i="1" l="1"/>
  <c r="D16" i="1" s="1"/>
  <c r="E16" i="1" s="1"/>
  <c r="F16" i="1" s="1"/>
  <c r="G16" i="1" s="1"/>
  <c r="H16" i="1" s="1"/>
  <c r="I16" i="1" s="1"/>
  <c r="J16" i="1" s="1"/>
  <c r="K16" i="1" s="1"/>
  <c r="L16" i="1" s="1"/>
  <c r="M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AM16" i="1" s="1"/>
  <c r="AN16" i="1" s="1"/>
  <c r="AO16" i="1" s="1"/>
  <c r="AP16" i="1" s="1"/>
  <c r="AQ16" i="1" s="1"/>
  <c r="AR16" i="1" s="1"/>
  <c r="AS16" i="1" s="1"/>
  <c r="AT16" i="1" s="1"/>
  <c r="AU16" i="1" s="1"/>
  <c r="AV16" i="1" s="1"/>
  <c r="AZ16" i="1" s="1"/>
  <c r="BA16" i="1" s="1"/>
  <c r="BB16" i="1" s="1"/>
  <c r="BC16" i="1" s="1"/>
  <c r="BD16" i="1" s="1"/>
  <c r="BE16" i="1" s="1"/>
  <c r="BF16" i="1" s="1"/>
  <c r="BG16" i="1" s="1"/>
  <c r="BH16" i="1" s="1"/>
  <c r="BI16" i="1" s="1"/>
  <c r="B19" i="1"/>
  <c r="B35" i="1"/>
  <c r="B27" i="1"/>
  <c r="B26" i="1"/>
  <c r="B31" i="1"/>
  <c r="B25" i="1"/>
  <c r="B24" i="1"/>
  <c r="B23" i="1"/>
  <c r="B22" i="1"/>
  <c r="B21" i="1"/>
  <c r="BK24" i="1" l="1"/>
  <c r="BK25" i="1"/>
  <c r="BK27" i="1"/>
  <c r="BK26" i="1"/>
  <c r="BK22" i="1"/>
  <c r="BK23" i="1"/>
  <c r="AX22" i="1"/>
  <c r="AX24" i="1"/>
  <c r="AX26" i="1"/>
  <c r="AX27" i="1"/>
  <c r="AX23" i="1"/>
  <c r="AX25" i="1"/>
  <c r="AK24" i="1"/>
  <c r="AK23" i="1"/>
  <c r="AK25" i="1"/>
  <c r="AK26" i="1"/>
  <c r="AK27" i="1"/>
  <c r="AK22" i="1"/>
  <c r="B29" i="1"/>
  <c r="B33" i="1" s="1"/>
  <c r="B37" i="1" s="1"/>
  <c r="B39" i="1" s="1"/>
  <c r="AX21" i="1" l="1"/>
  <c r="AK21" i="1"/>
  <c r="BN21" i="1" l="1"/>
  <c r="AX29" i="1"/>
  <c r="BO21" i="1"/>
  <c r="AK29" i="1"/>
  <c r="D19" i="1" l="1"/>
  <c r="E19" i="1" l="1"/>
  <c r="F19" i="1" l="1"/>
  <c r="G19" i="1" l="1"/>
  <c r="H19" i="1" l="1"/>
  <c r="I19" i="1" l="1"/>
  <c r="J19" i="1" l="1"/>
  <c r="K19" i="1" l="1"/>
  <c r="L19" i="1" l="1"/>
  <c r="M19" i="1" l="1"/>
  <c r="O19" i="1" l="1"/>
  <c r="P19" i="1" l="1"/>
  <c r="Q19" i="1" l="1"/>
  <c r="R19" i="1" l="1"/>
  <c r="S19" i="1" l="1"/>
  <c r="T19" i="1" l="1"/>
  <c r="U19" i="1" l="1"/>
  <c r="V19" i="1" l="1"/>
  <c r="W19" i="1" l="1"/>
  <c r="X19" i="1" l="1"/>
  <c r="Z19" i="1" l="1"/>
  <c r="AA19" i="1" l="1"/>
  <c r="AB19" i="1" l="1"/>
  <c r="AC19" i="1" l="1"/>
  <c r="AD19" i="1" l="1"/>
  <c r="AE19" i="1" l="1"/>
  <c r="AF19" i="1" l="1"/>
  <c r="AG19" i="1" l="1"/>
  <c r="AH19" i="1" l="1"/>
  <c r="AI19" i="1" l="1"/>
  <c r="AK19" i="1" l="1"/>
  <c r="AM19" i="1"/>
  <c r="AN19" i="1" l="1"/>
  <c r="AO19" i="1" l="1"/>
  <c r="AP19" i="1" l="1"/>
  <c r="AQ19" i="1" l="1"/>
  <c r="AR19" i="1" l="1"/>
  <c r="AS19" i="1" l="1"/>
  <c r="AT19" i="1" l="1"/>
  <c r="AU19" i="1" l="1"/>
  <c r="AV19" i="1" l="1"/>
  <c r="AX19" i="1" l="1"/>
  <c r="AZ19" i="1"/>
  <c r="BA19" i="1" l="1"/>
  <c r="BB19" i="1" l="1"/>
  <c r="BC19" i="1" l="1"/>
  <c r="BD19" i="1" l="1"/>
  <c r="BE19" i="1" l="1"/>
  <c r="BF19" i="1" l="1"/>
  <c r="BG19" i="1" l="1"/>
  <c r="BH19" i="1" l="1"/>
  <c r="BI19" i="1" l="1"/>
  <c r="BK19" i="1" l="1"/>
  <c r="D35" i="1" l="1"/>
  <c r="E35" i="1" l="1"/>
  <c r="F35" i="1" l="1"/>
  <c r="G35" i="1" l="1"/>
  <c r="H35" i="1" l="1"/>
  <c r="I35" i="1" l="1"/>
  <c r="J35" i="1" l="1"/>
  <c r="K35" i="1" l="1"/>
  <c r="L35" i="1" l="1"/>
  <c r="M35" i="1" l="1"/>
  <c r="O35" i="1" l="1"/>
  <c r="P35" i="1" l="1"/>
  <c r="Q35" i="1" l="1"/>
  <c r="R35" i="1" l="1"/>
  <c r="S35" i="1" l="1"/>
  <c r="T35" i="1" l="1"/>
  <c r="U35" i="1" l="1"/>
  <c r="V35" i="1" l="1"/>
  <c r="W35" i="1" l="1"/>
  <c r="X35" i="1" l="1"/>
  <c r="Z35" i="1" l="1"/>
  <c r="AA35" i="1" l="1"/>
  <c r="AB35" i="1" l="1"/>
  <c r="AC35" i="1" l="1"/>
  <c r="AD35" i="1" l="1"/>
  <c r="AE35" i="1" l="1"/>
  <c r="AF35" i="1" l="1"/>
  <c r="AG35" i="1" l="1"/>
  <c r="AH35" i="1" l="1"/>
  <c r="AI35" i="1" l="1"/>
  <c r="BO25" i="1" l="1"/>
  <c r="AK35" i="1"/>
  <c r="AM35" i="1" l="1"/>
  <c r="AN35" i="1" l="1"/>
  <c r="AO35" i="1" l="1"/>
  <c r="AP35" i="1" l="1"/>
  <c r="AQ35" i="1" l="1"/>
  <c r="AR35" i="1" l="1"/>
  <c r="AS35" i="1" l="1"/>
  <c r="AT35" i="1" l="1"/>
  <c r="AU35" i="1" l="1"/>
  <c r="AV35" i="1" l="1"/>
  <c r="AX35" i="1" l="1"/>
  <c r="AZ35" i="1" l="1"/>
  <c r="BA35" i="1" l="1"/>
  <c r="BB35" i="1" l="1"/>
  <c r="BC35" i="1" l="1"/>
  <c r="BD35" i="1" l="1"/>
  <c r="BE35" i="1" l="1"/>
  <c r="BF35" i="1" l="1"/>
  <c r="BG35" i="1" l="1"/>
  <c r="BH35" i="1" l="1"/>
  <c r="BI35" i="1"/>
  <c r="BK35" i="1" l="1"/>
  <c r="BB29" i="1" l="1"/>
  <c r="BK21" i="1"/>
  <c r="BK29" i="1" s="1"/>
  <c r="BN25" i="1"/>
  <c r="D42" i="1" l="1"/>
  <c r="D53" i="1" l="1"/>
  <c r="D54" i="1" l="1"/>
  <c r="E53" i="1" l="1"/>
  <c r="E54" i="1" l="1"/>
  <c r="F53" i="1" l="1"/>
  <c r="F54" i="1" l="1"/>
  <c r="G53" i="1" l="1"/>
  <c r="G54" i="1" l="1"/>
  <c r="H53" i="1" l="1"/>
  <c r="H54" i="1" l="1"/>
  <c r="I53" i="1" l="1"/>
  <c r="I54" i="1" s="1"/>
  <c r="J53" i="1" l="1"/>
  <c r="J54" i="1" s="1"/>
  <c r="K53" i="1" l="1"/>
  <c r="K54" i="1" s="1"/>
  <c r="L53" i="1" l="1"/>
  <c r="L54" i="1" s="1"/>
  <c r="M53" i="1" l="1"/>
  <c r="M54" i="1" s="1"/>
  <c r="O53" i="1" l="1"/>
  <c r="O54" i="1" s="1"/>
  <c r="P53" i="1" l="1"/>
  <c r="P54" i="1" s="1"/>
  <c r="Q53" i="1" l="1"/>
  <c r="Q54" i="1" s="1"/>
  <c r="R53" i="1" l="1"/>
  <c r="R54" i="1" s="1"/>
  <c r="S53" i="1" l="1"/>
  <c r="S54" i="1" s="1"/>
  <c r="T53" i="1" l="1"/>
  <c r="T54" i="1" s="1"/>
  <c r="U53" i="1" l="1"/>
  <c r="U54" i="1" s="1"/>
  <c r="V53" i="1" l="1"/>
  <c r="V54" i="1" s="1"/>
  <c r="W53" i="1" l="1"/>
  <c r="W54" i="1" s="1"/>
  <c r="X53" i="1" l="1"/>
  <c r="X54" i="1" s="1"/>
  <c r="Z53" i="1" l="1"/>
  <c r="Z54" i="1" s="1"/>
  <c r="AA53" i="1" l="1"/>
  <c r="AA54" i="1" s="1"/>
  <c r="AB53" i="1" l="1"/>
  <c r="AB54" i="1" s="1"/>
  <c r="AC53" i="1" l="1"/>
  <c r="AC54" i="1" s="1"/>
  <c r="AD53" i="1" l="1"/>
  <c r="AD54" i="1" s="1"/>
  <c r="AE53" i="1" l="1"/>
  <c r="AE54" i="1" s="1"/>
  <c r="AF53" i="1" l="1"/>
  <c r="AF54" i="1" s="1"/>
  <c r="AG53" i="1" l="1"/>
  <c r="AG54" i="1" s="1"/>
  <c r="AH53" i="1" l="1"/>
  <c r="AH54" i="1" s="1"/>
  <c r="AI53" i="1" l="1"/>
  <c r="AK53" i="1" l="1"/>
  <c r="AI54" i="1"/>
  <c r="AM53" i="1" l="1"/>
  <c r="AM54" i="1" l="1"/>
  <c r="AN53" i="1" l="1"/>
  <c r="AN54" i="1" l="1"/>
  <c r="AO53" i="1" l="1"/>
  <c r="AO54" i="1" l="1"/>
  <c r="AP53" i="1" l="1"/>
  <c r="AP54" i="1" s="1"/>
  <c r="AQ53" i="1" l="1"/>
  <c r="AQ54" i="1" s="1"/>
  <c r="AR53" i="1" l="1"/>
  <c r="AR54" i="1" s="1"/>
  <c r="AS53" i="1" l="1"/>
  <c r="AS54" i="1" s="1"/>
  <c r="AT53" i="1" l="1"/>
  <c r="AT54" i="1" s="1"/>
  <c r="AU53" i="1" l="1"/>
  <c r="AU54" i="1" s="1"/>
  <c r="AV53" i="1" l="1"/>
  <c r="AX53" i="1" l="1"/>
  <c r="AV54" i="1"/>
  <c r="AZ53" i="1" l="1"/>
  <c r="AZ54" i="1" l="1"/>
  <c r="BA53" i="1" l="1"/>
  <c r="BA54" i="1" l="1"/>
  <c r="BB53" i="1" l="1"/>
  <c r="BB54" i="1" l="1"/>
  <c r="BC53" i="1" l="1"/>
  <c r="BC54" i="1" s="1"/>
  <c r="BD53" i="1" l="1"/>
  <c r="BD54" i="1" s="1"/>
  <c r="BE53" i="1" l="1"/>
  <c r="BE54" i="1" s="1"/>
  <c r="BF53" i="1" l="1"/>
  <c r="BF54" i="1" s="1"/>
  <c r="BG53" i="1" l="1"/>
  <c r="BG54" i="1" s="1"/>
  <c r="BH53" i="1" l="1"/>
  <c r="BH54" i="1" s="1"/>
  <c r="BI53" i="1" l="1"/>
  <c r="BK53" i="1" l="1"/>
  <c r="BI54" i="1"/>
  <c r="BE31" i="1" l="1"/>
  <c r="BE33" i="1" s="1"/>
  <c r="BA31" i="1"/>
  <c r="BA33" i="1" s="1"/>
  <c r="AT31" i="1"/>
  <c r="AT33" i="1" s="1"/>
  <c r="AP31" i="1"/>
  <c r="AP33" i="1" s="1"/>
  <c r="AA31" i="1"/>
  <c r="AA33" i="1" s="1"/>
  <c r="V31" i="1"/>
  <c r="V33" i="1" s="1"/>
  <c r="R31" i="1"/>
  <c r="R33" i="1" s="1"/>
  <c r="I31" i="1"/>
  <c r="I33" i="1" s="1"/>
  <c r="I37" i="1" s="1"/>
  <c r="AZ31" i="1"/>
  <c r="AZ33" i="1" s="1"/>
  <c r="AS31" i="1"/>
  <c r="AS33" i="1" s="1"/>
  <c r="AH31" i="1"/>
  <c r="AH33" i="1" s="1"/>
  <c r="Z31" i="1"/>
  <c r="Z33" i="1" s="1"/>
  <c r="U31" i="1"/>
  <c r="U33" i="1" s="1"/>
  <c r="Q31" i="1"/>
  <c r="Q33" i="1" s="1"/>
  <c r="H31" i="1"/>
  <c r="H33" i="1" s="1"/>
  <c r="H37" i="1" s="1"/>
  <c r="BH31" i="1"/>
  <c r="BH33" i="1" s="1"/>
  <c r="BD31" i="1"/>
  <c r="BD33" i="1" s="1"/>
  <c r="AO31" i="1"/>
  <c r="AO33" i="1" s="1"/>
  <c r="AD31" i="1"/>
  <c r="AD33" i="1" s="1"/>
  <c r="L31" i="1"/>
  <c r="L33" i="1" s="1"/>
  <c r="L37" i="1" s="1"/>
  <c r="D31" i="1"/>
  <c r="AV31" i="1"/>
  <c r="AV33" i="1" s="1"/>
  <c r="AN31" i="1"/>
  <c r="AN33" i="1" s="1"/>
  <c r="AG31" i="1"/>
  <c r="AG33" i="1" s="1"/>
  <c r="X31" i="1"/>
  <c r="X33" i="1" s="1"/>
  <c r="T31" i="1"/>
  <c r="T33" i="1" s="1"/>
  <c r="P31" i="1"/>
  <c r="P33" i="1" s="1"/>
  <c r="BI31" i="1"/>
  <c r="BI33" i="1" s="1"/>
  <c r="BC31" i="1"/>
  <c r="BC33" i="1" s="1"/>
  <c r="AR31" i="1"/>
  <c r="AR33" i="1" s="1"/>
  <c r="AC31" i="1"/>
  <c r="AC33" i="1" s="1"/>
  <c r="K31" i="1"/>
  <c r="K33" i="1" s="1"/>
  <c r="K37" i="1" s="1"/>
  <c r="G31" i="1"/>
  <c r="G33" i="1" s="1"/>
  <c r="G37" i="1" s="1"/>
  <c r="BF31" i="1"/>
  <c r="BF33" i="1" s="1"/>
  <c r="AB31" i="1"/>
  <c r="AB33" i="1" s="1"/>
  <c r="W31" i="1"/>
  <c r="W33" i="1" s="1"/>
  <c r="S31" i="1"/>
  <c r="S33" i="1" s="1"/>
  <c r="O31" i="1"/>
  <c r="O33" i="1" s="1"/>
  <c r="BB31" i="1"/>
  <c r="BB33" i="1" s="1"/>
  <c r="AU31" i="1"/>
  <c r="AU33" i="1" s="1"/>
  <c r="AQ31" i="1"/>
  <c r="AQ33" i="1" s="1"/>
  <c r="AM31" i="1"/>
  <c r="AM33" i="1" s="1"/>
  <c r="AF31" i="1"/>
  <c r="AF33" i="1" s="1"/>
  <c r="J31" i="1"/>
  <c r="J33" i="1" s="1"/>
  <c r="J37" i="1" s="1"/>
  <c r="F31" i="1"/>
  <c r="F33" i="1" s="1"/>
  <c r="F37" i="1" s="1"/>
  <c r="BG31" i="1"/>
  <c r="BG33" i="1" s="1"/>
  <c r="AI31" i="1"/>
  <c r="AI33" i="1" s="1"/>
  <c r="AE31" i="1"/>
  <c r="AE33" i="1" s="1"/>
  <c r="M31" i="1"/>
  <c r="M33" i="1" s="1"/>
  <c r="M37" i="1" s="1"/>
  <c r="E31" i="1"/>
  <c r="E33" i="1" s="1"/>
  <c r="E37" i="1" s="1"/>
  <c r="D33" i="1" l="1"/>
  <c r="AX31" i="1"/>
  <c r="AK31" i="1"/>
  <c r="BK31" i="1"/>
  <c r="D28" i="1" l="1"/>
  <c r="D37" i="1"/>
  <c r="D49" i="1"/>
  <c r="E49" i="1" s="1"/>
  <c r="F49" i="1" s="1"/>
  <c r="G49" i="1" s="1"/>
  <c r="H49" i="1" s="1"/>
  <c r="I49" i="1" s="1"/>
  <c r="J49" i="1" s="1"/>
  <c r="K49" i="1" s="1"/>
  <c r="L49" i="1" s="1"/>
  <c r="M49" i="1" s="1"/>
  <c r="AK33" i="1"/>
  <c r="BK33" i="1"/>
  <c r="AX33" i="1"/>
  <c r="D39" i="1" l="1"/>
  <c r="O37" i="1"/>
  <c r="O49" i="1"/>
  <c r="E28" i="1"/>
  <c r="E39" i="1" s="1"/>
  <c r="P49" i="1" l="1"/>
  <c r="P37" i="1"/>
  <c r="D43" i="1"/>
  <c r="D46" i="1" s="1"/>
  <c r="F28" i="1"/>
  <c r="E43" i="1" l="1"/>
  <c r="E46" i="1" s="1"/>
  <c r="G28" i="1"/>
  <c r="G39" i="1" s="1"/>
  <c r="F39" i="1"/>
  <c r="Q37" i="1"/>
  <c r="Q49" i="1"/>
  <c r="D55" i="1"/>
  <c r="D44" i="1"/>
  <c r="D74" i="1" s="1"/>
  <c r="D73" i="1" s="1"/>
  <c r="D75" i="1" s="1"/>
  <c r="H28" i="1" l="1"/>
  <c r="F43" i="1"/>
  <c r="D52" i="1"/>
  <c r="E42" i="1"/>
  <c r="E44" i="1" s="1"/>
  <c r="E74" i="1" s="1"/>
  <c r="E73" i="1" s="1"/>
  <c r="E75" i="1" s="1"/>
  <c r="E55" i="1"/>
  <c r="D56" i="1"/>
  <c r="R49" i="1"/>
  <c r="R37" i="1"/>
  <c r="F46" i="1" l="1"/>
  <c r="G43" i="1" s="1"/>
  <c r="G46" i="1" s="1"/>
  <c r="H39" i="1"/>
  <c r="I28" i="1"/>
  <c r="D51" i="1"/>
  <c r="S49" i="1"/>
  <c r="S37" i="1"/>
  <c r="F55" i="1"/>
  <c r="E56" i="1"/>
  <c r="E52" i="1"/>
  <c r="F42" i="1"/>
  <c r="F44" i="1" s="1"/>
  <c r="F74" i="1" s="1"/>
  <c r="F73" i="1" s="1"/>
  <c r="F75" i="1" s="1"/>
  <c r="G55" i="1" l="1"/>
  <c r="F56" i="1"/>
  <c r="T49" i="1"/>
  <c r="T37" i="1"/>
  <c r="E51" i="1"/>
  <c r="I39" i="1"/>
  <c r="F52" i="1"/>
  <c r="G42" i="1"/>
  <c r="G44" i="1" s="1"/>
  <c r="G74" i="1" s="1"/>
  <c r="G73" i="1" s="1"/>
  <c r="G75" i="1" s="1"/>
  <c r="J28" i="1"/>
  <c r="H43" i="1"/>
  <c r="J39" i="1" l="1"/>
  <c r="F51" i="1"/>
  <c r="K28" i="1"/>
  <c r="K39" i="1" s="1"/>
  <c r="H55" i="1"/>
  <c r="G56" i="1"/>
  <c r="G52" i="1"/>
  <c r="H42" i="1"/>
  <c r="H44" i="1" s="1"/>
  <c r="H74" i="1" s="1"/>
  <c r="H73" i="1" s="1"/>
  <c r="H75" i="1" s="1"/>
  <c r="H46" i="1"/>
  <c r="I43" i="1" s="1"/>
  <c r="I46" i="1" s="1"/>
  <c r="J43" i="1" s="1"/>
  <c r="J46" i="1" s="1"/>
  <c r="U37" i="1"/>
  <c r="U49" i="1"/>
  <c r="K43" i="1" l="1"/>
  <c r="K46" i="1" s="1"/>
  <c r="V37" i="1"/>
  <c r="V49" i="1"/>
  <c r="L28" i="1"/>
  <c r="L39" i="1" s="1"/>
  <c r="L43" i="1" s="1"/>
  <c r="I55" i="1"/>
  <c r="H56" i="1"/>
  <c r="I42" i="1"/>
  <c r="I44" i="1" s="1"/>
  <c r="I74" i="1" s="1"/>
  <c r="I73" i="1" s="1"/>
  <c r="I75" i="1" s="1"/>
  <c r="H52" i="1"/>
  <c r="G51" i="1"/>
  <c r="L46" i="1" l="1"/>
  <c r="J55" i="1"/>
  <c r="I56" i="1"/>
  <c r="I52" i="1"/>
  <c r="J42" i="1"/>
  <c r="J44" i="1" s="1"/>
  <c r="J74" i="1" s="1"/>
  <c r="J73" i="1" s="1"/>
  <c r="J75" i="1" s="1"/>
  <c r="M28" i="1"/>
  <c r="M39" i="1" s="1"/>
  <c r="H51" i="1"/>
  <c r="W37" i="1"/>
  <c r="W49" i="1"/>
  <c r="J52" i="1" l="1"/>
  <c r="K42" i="1"/>
  <c r="K44" i="1" s="1"/>
  <c r="K74" i="1" s="1"/>
  <c r="K73" i="1" s="1"/>
  <c r="K75" i="1" s="1"/>
  <c r="X37" i="1"/>
  <c r="X49" i="1"/>
  <c r="I51" i="1"/>
  <c r="K55" i="1"/>
  <c r="J56" i="1"/>
  <c r="O28" i="1"/>
  <c r="O39" i="1" s="1"/>
  <c r="M43" i="1"/>
  <c r="M46" i="1" s="1"/>
  <c r="O43" i="1" s="1"/>
  <c r="O46" i="1" s="1"/>
  <c r="Z49" i="1" l="1"/>
  <c r="Z37" i="1"/>
  <c r="K52" i="1"/>
  <c r="L42" i="1"/>
  <c r="L44" i="1" s="1"/>
  <c r="L74" i="1" s="1"/>
  <c r="L73" i="1" s="1"/>
  <c r="L75" i="1" s="1"/>
  <c r="P28" i="1"/>
  <c r="P39" i="1" s="1"/>
  <c r="P43" i="1" s="1"/>
  <c r="P46" i="1" s="1"/>
  <c r="L55" i="1"/>
  <c r="K56" i="1"/>
  <c r="J51" i="1"/>
  <c r="M42" i="1" l="1"/>
  <c r="M44" i="1" s="1"/>
  <c r="M74" i="1" s="1"/>
  <c r="M73" i="1" s="1"/>
  <c r="M75" i="1" s="1"/>
  <c r="L52" i="1"/>
  <c r="Q28" i="1"/>
  <c r="Q39" i="1" s="1"/>
  <c r="Q43" i="1" s="1"/>
  <c r="Q46" i="1" s="1"/>
  <c r="M55" i="1"/>
  <c r="L56" i="1"/>
  <c r="AA37" i="1"/>
  <c r="AA49" i="1"/>
  <c r="K51" i="1"/>
  <c r="R28" i="1" l="1"/>
  <c r="R39" i="1" s="1"/>
  <c r="R43" i="1" s="1"/>
  <c r="R46" i="1" s="1"/>
  <c r="O55" i="1"/>
  <c r="M56" i="1"/>
  <c r="AB49" i="1"/>
  <c r="AB37" i="1"/>
  <c r="L51" i="1"/>
  <c r="O42" i="1"/>
  <c r="O44" i="1" s="1"/>
  <c r="O74" i="1" s="1"/>
  <c r="O73" i="1" s="1"/>
  <c r="O75" i="1" s="1"/>
  <c r="M52" i="1"/>
  <c r="M51" i="1" s="1"/>
  <c r="N51" i="1" s="1"/>
  <c r="P55" i="1" l="1"/>
  <c r="O56" i="1"/>
  <c r="AC37" i="1"/>
  <c r="AC49" i="1"/>
  <c r="P42" i="1"/>
  <c r="P44" i="1" s="1"/>
  <c r="P74" i="1" s="1"/>
  <c r="P73" i="1" s="1"/>
  <c r="P75" i="1" s="1"/>
  <c r="O52" i="1"/>
  <c r="O51" i="1" s="1"/>
  <c r="S28" i="1"/>
  <c r="S39" i="1" s="1"/>
  <c r="S43" i="1" s="1"/>
  <c r="S46" i="1" s="1"/>
  <c r="P52" i="1" l="1"/>
  <c r="P51" i="1" s="1"/>
  <c r="Q42" i="1"/>
  <c r="Q44" i="1" s="1"/>
  <c r="Q74" i="1" s="1"/>
  <c r="Q73" i="1" s="1"/>
  <c r="Q75" i="1" s="1"/>
  <c r="Q55" i="1"/>
  <c r="P56" i="1"/>
  <c r="AD37" i="1"/>
  <c r="AD49" i="1"/>
  <c r="T28" i="1"/>
  <c r="T39" i="1" s="1"/>
  <c r="T43" i="1" s="1"/>
  <c r="T46" i="1" s="1"/>
  <c r="U28" i="1" l="1"/>
  <c r="U39" i="1" s="1"/>
  <c r="U43" i="1" s="1"/>
  <c r="U46" i="1" s="1"/>
  <c r="AE37" i="1"/>
  <c r="AE49" i="1"/>
  <c r="R55" i="1"/>
  <c r="Q56" i="1"/>
  <c r="R42" i="1"/>
  <c r="R44" i="1" s="1"/>
  <c r="R74" i="1" s="1"/>
  <c r="R73" i="1" s="1"/>
  <c r="R75" i="1" s="1"/>
  <c r="Q52" i="1"/>
  <c r="Q51" i="1" s="1"/>
  <c r="S55" i="1" l="1"/>
  <c r="R56" i="1"/>
  <c r="AF37" i="1"/>
  <c r="AF49" i="1"/>
  <c r="V28" i="1"/>
  <c r="V39" i="1" s="1"/>
  <c r="V43" i="1" s="1"/>
  <c r="V46" i="1" s="1"/>
  <c r="R52" i="1"/>
  <c r="R51" i="1" s="1"/>
  <c r="S42" i="1"/>
  <c r="S44" i="1" s="1"/>
  <c r="S74" i="1" s="1"/>
  <c r="S73" i="1" s="1"/>
  <c r="S75" i="1" s="1"/>
  <c r="AG37" i="1" l="1"/>
  <c r="AG49" i="1"/>
  <c r="W28" i="1"/>
  <c r="W39" i="1" s="1"/>
  <c r="W43" i="1" s="1"/>
  <c r="W46" i="1" s="1"/>
  <c r="T55" i="1"/>
  <c r="S56" i="1"/>
  <c r="T42" i="1"/>
  <c r="T44" i="1" s="1"/>
  <c r="T74" i="1" s="1"/>
  <c r="T73" i="1" s="1"/>
  <c r="T75" i="1" s="1"/>
  <c r="S52" i="1"/>
  <c r="S51" i="1" s="1"/>
  <c r="U55" i="1" l="1"/>
  <c r="T56" i="1"/>
  <c r="T52" i="1"/>
  <c r="T51" i="1" s="1"/>
  <c r="U42" i="1"/>
  <c r="U44" i="1" s="1"/>
  <c r="U74" i="1" s="1"/>
  <c r="U73" i="1" s="1"/>
  <c r="U75" i="1" s="1"/>
  <c r="AH49" i="1"/>
  <c r="AH37" i="1"/>
  <c r="X28" i="1"/>
  <c r="X39" i="1" s="1"/>
  <c r="X43" i="1" s="1"/>
  <c r="X46" i="1" s="1"/>
  <c r="AI37" i="1" l="1"/>
  <c r="AI49" i="1"/>
  <c r="U52" i="1"/>
  <c r="U51" i="1" s="1"/>
  <c r="V42" i="1"/>
  <c r="V44" i="1" s="1"/>
  <c r="V74" i="1" s="1"/>
  <c r="V73" i="1" s="1"/>
  <c r="V75" i="1" s="1"/>
  <c r="Z28" i="1"/>
  <c r="Z39" i="1" s="1"/>
  <c r="V55" i="1"/>
  <c r="U56" i="1"/>
  <c r="W55" i="1" l="1"/>
  <c r="V56" i="1"/>
  <c r="AM37" i="1"/>
  <c r="AM49" i="1"/>
  <c r="AA28" i="1"/>
  <c r="AA39" i="1" s="1"/>
  <c r="V52" i="1"/>
  <c r="V51" i="1" s="1"/>
  <c r="W42" i="1"/>
  <c r="W44" i="1" s="1"/>
  <c r="W74" i="1" s="1"/>
  <c r="W73" i="1" s="1"/>
  <c r="W75" i="1" s="1"/>
  <c r="AK37" i="1"/>
  <c r="AN49" i="1" l="1"/>
  <c r="AN37" i="1"/>
  <c r="W52" i="1"/>
  <c r="W51" i="1" s="1"/>
  <c r="X42" i="1"/>
  <c r="X44" i="1" s="1"/>
  <c r="X74" i="1" s="1"/>
  <c r="X73" i="1" s="1"/>
  <c r="X75" i="1" s="1"/>
  <c r="X55" i="1"/>
  <c r="W56" i="1"/>
  <c r="AB28" i="1"/>
  <c r="AB39" i="1" s="1"/>
  <c r="X56" i="1" l="1"/>
  <c r="AC28" i="1"/>
  <c r="AC39" i="1" s="1"/>
  <c r="Z42" i="1"/>
  <c r="X52" i="1"/>
  <c r="X51" i="1" s="1"/>
  <c r="Z43" i="1"/>
  <c r="Z46" i="1" s="1"/>
  <c r="Z70" i="1" s="1"/>
  <c r="Z71" i="1" s="1"/>
  <c r="AO37" i="1"/>
  <c r="AO49" i="1"/>
  <c r="AD28" i="1" l="1"/>
  <c r="AD39" i="1" s="1"/>
  <c r="Z44" i="1"/>
  <c r="AP49" i="1"/>
  <c r="AP37" i="1"/>
  <c r="Z55" i="1"/>
  <c r="AA43" i="1" l="1"/>
  <c r="AA46" i="1" s="1"/>
  <c r="AA70" i="1" s="1"/>
  <c r="AA71" i="1" s="1"/>
  <c r="Z74" i="1"/>
  <c r="Z73" i="1" s="1"/>
  <c r="Z75" i="1" s="1"/>
  <c r="AA55" i="1"/>
  <c r="Z56" i="1"/>
  <c r="AA42" i="1"/>
  <c r="AA44" i="1" s="1"/>
  <c r="AA74" i="1" s="1"/>
  <c r="Z52" i="1"/>
  <c r="Z51" i="1" s="1"/>
  <c r="AQ37" i="1"/>
  <c r="AQ49" i="1"/>
  <c r="AE28" i="1"/>
  <c r="AE39" i="1" s="1"/>
  <c r="AA73" i="1" l="1"/>
  <c r="AA75" i="1" s="1"/>
  <c r="AF28" i="1"/>
  <c r="AF39" i="1" s="1"/>
  <c r="AA52" i="1"/>
  <c r="AA51" i="1" s="1"/>
  <c r="AB42" i="1"/>
  <c r="AA56" i="1"/>
  <c r="AB43" i="1"/>
  <c r="AB46" i="1" s="1"/>
  <c r="AB70" i="1" s="1"/>
  <c r="AB71" i="1" s="1"/>
  <c r="AR37" i="1"/>
  <c r="AR49" i="1"/>
  <c r="AB44" i="1" l="1"/>
  <c r="AB74" i="1" s="1"/>
  <c r="AB73" i="1" s="1"/>
  <c r="AB75" i="1" s="1"/>
  <c r="AG28" i="1"/>
  <c r="AG39" i="1" s="1"/>
  <c r="AB55" i="1"/>
  <c r="AB52" i="1"/>
  <c r="AB51" i="1" s="1"/>
  <c r="AS49" i="1"/>
  <c r="AS37" i="1"/>
  <c r="AC43" i="1" l="1"/>
  <c r="AC46" i="1" s="1"/>
  <c r="AC70" i="1" s="1"/>
  <c r="AC71" i="1" s="1"/>
  <c r="AC42" i="1"/>
  <c r="AC44" i="1" s="1"/>
  <c r="AT49" i="1"/>
  <c r="AT37" i="1"/>
  <c r="AC55" i="1"/>
  <c r="AB56" i="1"/>
  <c r="AH28" i="1"/>
  <c r="AH39" i="1" s="1"/>
  <c r="AD43" i="1" l="1"/>
  <c r="AD46" i="1" s="1"/>
  <c r="AD70" i="1" s="1"/>
  <c r="AD71" i="1" s="1"/>
  <c r="AC74" i="1"/>
  <c r="AC73" i="1" s="1"/>
  <c r="AC75" i="1" s="1"/>
  <c r="AD55" i="1"/>
  <c r="AD56" i="1" s="1"/>
  <c r="AC56" i="1"/>
  <c r="AI28" i="1"/>
  <c r="AC52" i="1"/>
  <c r="AC51" i="1" s="1"/>
  <c r="AD42" i="1"/>
  <c r="AD44" i="1" s="1"/>
  <c r="AD74" i="1" s="1"/>
  <c r="AU49" i="1"/>
  <c r="AU37" i="1"/>
  <c r="AD73" i="1" l="1"/>
  <c r="AD75" i="1" s="1"/>
  <c r="AM28" i="1"/>
  <c r="AM39" i="1" s="1"/>
  <c r="AE42" i="1"/>
  <c r="AD52" i="1"/>
  <c r="AD51" i="1" s="1"/>
  <c r="AK28" i="1"/>
  <c r="AI39" i="1"/>
  <c r="AK39" i="1" s="1"/>
  <c r="AV49" i="1"/>
  <c r="AV37" i="1"/>
  <c r="AE43" i="1"/>
  <c r="AE55" i="1" l="1"/>
  <c r="AE56" i="1" s="1"/>
  <c r="AE46" i="1"/>
  <c r="AE70" i="1" s="1"/>
  <c r="AE71" i="1" s="1"/>
  <c r="AE73" i="1" s="1"/>
  <c r="AE75" i="1" s="1"/>
  <c r="AX37" i="1"/>
  <c r="AN28" i="1"/>
  <c r="AE44" i="1"/>
  <c r="AE74" i="1" s="1"/>
  <c r="AZ49" i="1"/>
  <c r="AZ37" i="1"/>
  <c r="AN39" i="1" l="1"/>
  <c r="AO28" i="1"/>
  <c r="AO39" i="1" s="1"/>
  <c r="AF43" i="1"/>
  <c r="AF55" i="1" s="1"/>
  <c r="AF56" i="1" s="1"/>
  <c r="AF42" i="1"/>
  <c r="AE52" i="1"/>
  <c r="AE51" i="1" s="1"/>
  <c r="BA37" i="1"/>
  <c r="BA49" i="1"/>
  <c r="AF44" i="1" l="1"/>
  <c r="AF74" i="1" s="1"/>
  <c r="BB37" i="1"/>
  <c r="BB49" i="1"/>
  <c r="AF46" i="1"/>
  <c r="AF70" i="1" s="1"/>
  <c r="AF71" i="1" s="1"/>
  <c r="AF73" i="1" s="1"/>
  <c r="AF75" i="1" s="1"/>
  <c r="AP28" i="1"/>
  <c r="BC37" i="1" l="1"/>
  <c r="BC49" i="1"/>
  <c r="AP39" i="1"/>
  <c r="AQ28" i="1"/>
  <c r="AQ39" i="1" s="1"/>
  <c r="AG43" i="1"/>
  <c r="AG55" i="1" s="1"/>
  <c r="AF52" i="1"/>
  <c r="AF51" i="1" s="1"/>
  <c r="AG42" i="1"/>
  <c r="AG44" i="1" l="1"/>
  <c r="AG74" i="1" s="1"/>
  <c r="AG46" i="1"/>
  <c r="AG52" i="1"/>
  <c r="AG51" i="1" s="1"/>
  <c r="AH42" i="1"/>
  <c r="BD49" i="1"/>
  <c r="BD37" i="1"/>
  <c r="AG56" i="1"/>
  <c r="AR28" i="1"/>
  <c r="AR39" i="1" s="1"/>
  <c r="AH43" i="1" l="1"/>
  <c r="AH46" i="1" s="1"/>
  <c r="AH70" i="1" s="1"/>
  <c r="AH71" i="1" s="1"/>
  <c r="AG70" i="1"/>
  <c r="AG71" i="1" s="1"/>
  <c r="AG73" i="1" s="1"/>
  <c r="AG75" i="1" s="1"/>
  <c r="AS28" i="1"/>
  <c r="AS39" i="1" s="1"/>
  <c r="BE37" i="1"/>
  <c r="BE49" i="1"/>
  <c r="AH55" i="1"/>
  <c r="AH44" i="1"/>
  <c r="AI43" i="1" l="1"/>
  <c r="AI46" i="1" s="1"/>
  <c r="AI70" i="1" s="1"/>
  <c r="AI71" i="1" s="1"/>
  <c r="AH74" i="1"/>
  <c r="AH73" i="1" s="1"/>
  <c r="AH75" i="1" s="1"/>
  <c r="BF37" i="1"/>
  <c r="BF49" i="1"/>
  <c r="AI55" i="1"/>
  <c r="AH56" i="1"/>
  <c r="AT28" i="1"/>
  <c r="AT39" i="1" s="1"/>
  <c r="AK43" i="1"/>
  <c r="AK47" i="1" s="1"/>
  <c r="AK48" i="1" s="1"/>
  <c r="AH52" i="1"/>
  <c r="AH51" i="1" s="1"/>
  <c r="AI42" i="1"/>
  <c r="AI44" i="1" s="1"/>
  <c r="AI74" i="1" s="1"/>
  <c r="AI73" i="1" l="1"/>
  <c r="AI75" i="1" s="1"/>
  <c r="BG37" i="1"/>
  <c r="BG49" i="1"/>
  <c r="AI52" i="1"/>
  <c r="AI51" i="1" s="1"/>
  <c r="AM42" i="1"/>
  <c r="AM43" i="1"/>
  <c r="AU28" i="1"/>
  <c r="AU39" i="1" s="1"/>
  <c r="AI56" i="1"/>
  <c r="AM46" i="1" l="1"/>
  <c r="AM70" i="1" s="1"/>
  <c r="AM71" i="1" s="1"/>
  <c r="AM44" i="1"/>
  <c r="AM74" i="1" s="1"/>
  <c r="AM55" i="1"/>
  <c r="AV28" i="1"/>
  <c r="BH49" i="1"/>
  <c r="BH37" i="1"/>
  <c r="AM73" i="1" l="1"/>
  <c r="AM75" i="1" s="1"/>
  <c r="AV39" i="1"/>
  <c r="AX39" i="1" s="1"/>
  <c r="AX28" i="1"/>
  <c r="AM56" i="1"/>
  <c r="AN43" i="1"/>
  <c r="AN46" i="1" s="1"/>
  <c r="AN70" i="1" s="1"/>
  <c r="AN71" i="1" s="1"/>
  <c r="AM52" i="1"/>
  <c r="AM51" i="1" s="1"/>
  <c r="AN42" i="1"/>
  <c r="AZ28" i="1"/>
  <c r="AZ39" i="1" s="1"/>
  <c r="BI37" i="1"/>
  <c r="BI49" i="1"/>
  <c r="BA28" i="1" l="1"/>
  <c r="AN44" i="1"/>
  <c r="AN74" i="1" s="1"/>
  <c r="AN73" i="1" s="1"/>
  <c r="AN75" i="1" s="1"/>
  <c r="AN55" i="1"/>
  <c r="AN56" i="1" s="1"/>
  <c r="BK37" i="1"/>
  <c r="BB28" i="1" l="1"/>
  <c r="BB39" i="1" s="1"/>
  <c r="BA39" i="1"/>
  <c r="AO43" i="1"/>
  <c r="AO42" i="1"/>
  <c r="AN52" i="1"/>
  <c r="AN51" i="1" s="1"/>
  <c r="AO44" i="1" l="1"/>
  <c r="AO74" i="1" s="1"/>
  <c r="AO55" i="1"/>
  <c r="AO56" i="1" s="1"/>
  <c r="AO46" i="1"/>
  <c r="AO70" i="1" s="1"/>
  <c r="AO71" i="1" s="1"/>
  <c r="AO73" i="1" s="1"/>
  <c r="AO75" i="1" s="1"/>
  <c r="BC28" i="1"/>
  <c r="BC39" i="1" l="1"/>
  <c r="AO52" i="1"/>
  <c r="AO51" i="1" s="1"/>
  <c r="AP42" i="1"/>
  <c r="AP43" i="1"/>
  <c r="AP55" i="1" s="1"/>
  <c r="AP56" i="1" s="1"/>
  <c r="BD28" i="1"/>
  <c r="BD39" i="1" s="1"/>
  <c r="AP44" i="1" l="1"/>
  <c r="AP74" i="1" s="1"/>
  <c r="AP46" i="1"/>
  <c r="AP70" i="1" s="1"/>
  <c r="AP71" i="1" s="1"/>
  <c r="AP73" i="1" s="1"/>
  <c r="AP75" i="1" s="1"/>
  <c r="BE28" i="1"/>
  <c r="BE39" i="1" s="1"/>
  <c r="BF28" i="1" l="1"/>
  <c r="BF39" i="1" s="1"/>
  <c r="AQ43" i="1"/>
  <c r="AQ55" i="1" s="1"/>
  <c r="AQ56" i="1" s="1"/>
  <c r="AP52" i="1"/>
  <c r="AP51" i="1" s="1"/>
  <c r="AQ42" i="1"/>
  <c r="BG28" i="1" l="1"/>
  <c r="BG39" i="1" s="1"/>
  <c r="AQ44" i="1"/>
  <c r="AQ74" i="1" s="1"/>
  <c r="AQ46" i="1"/>
  <c r="AQ70" i="1" s="1"/>
  <c r="AQ71" i="1" s="1"/>
  <c r="AQ73" i="1" l="1"/>
  <c r="AQ75" i="1" s="1"/>
  <c r="AQ52" i="1"/>
  <c r="AQ51" i="1" s="1"/>
  <c r="AR43" i="1"/>
  <c r="AR55" i="1" s="1"/>
  <c r="AR56" i="1" s="1"/>
  <c r="AR42" i="1"/>
  <c r="BI28" i="1"/>
  <c r="BH28" i="1"/>
  <c r="BH39" i="1" s="1"/>
  <c r="BI39" i="1" l="1"/>
  <c r="BK39" i="1" s="1"/>
  <c r="BK28" i="1"/>
  <c r="AR46" i="1"/>
  <c r="AR70" i="1" s="1"/>
  <c r="AR71" i="1" s="1"/>
  <c r="AR44" i="1"/>
  <c r="AR74" i="1" s="1"/>
  <c r="AR73" i="1" l="1"/>
  <c r="AR75" i="1" s="1"/>
  <c r="AS42" i="1"/>
  <c r="AS43" i="1"/>
  <c r="AS55" i="1" s="1"/>
  <c r="AS56" i="1" s="1"/>
  <c r="AR52" i="1"/>
  <c r="AR51" i="1" s="1"/>
  <c r="AS44" i="1" l="1"/>
  <c r="AS74" i="1" s="1"/>
  <c r="AS46" i="1"/>
  <c r="AS70" i="1" s="1"/>
  <c r="AS71" i="1" s="1"/>
  <c r="AS73" i="1" s="1"/>
  <c r="AS75" i="1" s="1"/>
  <c r="AT43" i="1" l="1"/>
  <c r="AT55" i="1" s="1"/>
  <c r="AT42" i="1"/>
  <c r="AS52" i="1"/>
  <c r="AS51" i="1" s="1"/>
  <c r="AT44" i="1" l="1"/>
  <c r="AT74" i="1" s="1"/>
  <c r="AT56" i="1"/>
  <c r="AT46" i="1"/>
  <c r="AU43" i="1" l="1"/>
  <c r="AU46" i="1" s="1"/>
  <c r="AU70" i="1" s="1"/>
  <c r="AU71" i="1" s="1"/>
  <c r="AT70" i="1"/>
  <c r="AT71" i="1" s="1"/>
  <c r="AT73" i="1" s="1"/>
  <c r="AT75" i="1" s="1"/>
  <c r="AU55" i="1"/>
  <c r="AT52" i="1"/>
  <c r="AT51" i="1" s="1"/>
  <c r="AU42" i="1"/>
  <c r="AU44" i="1" s="1"/>
  <c r="AU74" i="1" s="1"/>
  <c r="AU73" i="1" l="1"/>
  <c r="AU75" i="1" s="1"/>
  <c r="AV43" i="1"/>
  <c r="AV55" i="1" s="1"/>
  <c r="AV42" i="1"/>
  <c r="AU52" i="1"/>
  <c r="AU51" i="1" s="1"/>
  <c r="AU56" i="1"/>
  <c r="AV44" i="1" l="1"/>
  <c r="AV74" i="1" s="1"/>
  <c r="AZ42" i="1"/>
  <c r="AV52" i="1"/>
  <c r="AV51" i="1" s="1"/>
  <c r="AV56" i="1"/>
  <c r="AX43" i="1"/>
  <c r="AX47" i="1" s="1"/>
  <c r="AX48" i="1" s="1"/>
  <c r="AV46" i="1"/>
  <c r="AZ43" i="1" l="1"/>
  <c r="AV70" i="1"/>
  <c r="AV71" i="1" s="1"/>
  <c r="AV73" i="1" s="1"/>
  <c r="AV75" i="1" s="1"/>
  <c r="AZ46" i="1"/>
  <c r="AZ70" i="1" s="1"/>
  <c r="AZ71" i="1" s="1"/>
  <c r="AZ55" i="1"/>
  <c r="AZ44" i="1"/>
  <c r="AZ74" i="1" s="1"/>
  <c r="AZ73" i="1" l="1"/>
  <c r="AZ75" i="1" s="1"/>
  <c r="AZ56" i="1"/>
  <c r="BA43" i="1"/>
  <c r="BA55" i="1" s="1"/>
  <c r="AZ52" i="1"/>
  <c r="AZ51" i="1" s="1"/>
  <c r="BA42" i="1"/>
  <c r="BA44" i="1" s="1"/>
  <c r="BA74" i="1" s="1"/>
  <c r="BA46" i="1" l="1"/>
  <c r="BA70" i="1" s="1"/>
  <c r="BA71" i="1" s="1"/>
  <c r="BA73" i="1" s="1"/>
  <c r="BA75" i="1" s="1"/>
  <c r="BB43" i="1"/>
  <c r="BB46" i="1" s="1"/>
  <c r="BB70" i="1" s="1"/>
  <c r="BB71" i="1" s="1"/>
  <c r="BA56" i="1"/>
  <c r="BA52" i="1"/>
  <c r="BA51" i="1" s="1"/>
  <c r="BB42" i="1"/>
  <c r="BB44" i="1" l="1"/>
  <c r="BB74" i="1" s="1"/>
  <c r="BB73" i="1" s="1"/>
  <c r="BB75" i="1" s="1"/>
  <c r="BB55" i="1"/>
  <c r="BB56" i="1" s="1"/>
  <c r="BC42" i="1"/>
  <c r="BB52" i="1"/>
  <c r="BB51" i="1" s="1"/>
  <c r="BC43" i="1" l="1"/>
  <c r="BC46" i="1" s="1"/>
  <c r="BC70" i="1" s="1"/>
  <c r="BC71" i="1" s="1"/>
  <c r="BC55" i="1"/>
  <c r="BC44" i="1"/>
  <c r="BC74" i="1" s="1"/>
  <c r="BC73" i="1" l="1"/>
  <c r="BC75" i="1" s="1"/>
  <c r="BD42" i="1"/>
  <c r="BD43" i="1"/>
  <c r="BD46" i="1" s="1"/>
  <c r="BD70" i="1" s="1"/>
  <c r="BD71" i="1" s="1"/>
  <c r="BC52" i="1"/>
  <c r="BC51" i="1" s="1"/>
  <c r="BC56" i="1"/>
  <c r="BD55" i="1" l="1"/>
  <c r="BD56" i="1" s="1"/>
  <c r="BD44" i="1"/>
  <c r="BD74" i="1" s="1"/>
  <c r="BD73" i="1" s="1"/>
  <c r="BD75" i="1" s="1"/>
  <c r="BE43" i="1" l="1"/>
  <c r="BD52" i="1"/>
  <c r="BD51" i="1" s="1"/>
  <c r="BE42" i="1"/>
  <c r="BE44" i="1" s="1"/>
  <c r="BE74" i="1" s="1"/>
  <c r="BF43" i="1" l="1"/>
  <c r="BF42" i="1"/>
  <c r="BF44" i="1" s="1"/>
  <c r="BF74" i="1" s="1"/>
  <c r="BE52" i="1"/>
  <c r="BE51" i="1" s="1"/>
  <c r="BE46" i="1"/>
  <c r="BE55" i="1"/>
  <c r="BF46" i="1" l="1"/>
  <c r="BF70" i="1" s="1"/>
  <c r="BF71" i="1" s="1"/>
  <c r="BF73" i="1" s="1"/>
  <c r="BF75" i="1" s="1"/>
  <c r="BE70" i="1"/>
  <c r="BE71" i="1" s="1"/>
  <c r="BE73" i="1" s="1"/>
  <c r="BE75" i="1" s="1"/>
  <c r="BF55" i="1"/>
  <c r="BE56" i="1"/>
  <c r="BF52" i="1"/>
  <c r="BF51" i="1" s="1"/>
  <c r="BG42" i="1"/>
  <c r="BG43" i="1"/>
  <c r="BG46" i="1" s="1"/>
  <c r="BG70" i="1" s="1"/>
  <c r="BG71" i="1" s="1"/>
  <c r="BG44" i="1" l="1"/>
  <c r="BG74" i="1" s="1"/>
  <c r="BG73" i="1" s="1"/>
  <c r="BG75" i="1" s="1"/>
  <c r="BG55" i="1"/>
  <c r="BF56" i="1"/>
  <c r="BG56" i="1" l="1"/>
  <c r="BH43" i="1"/>
  <c r="BH46" i="1" s="1"/>
  <c r="BH70" i="1" s="1"/>
  <c r="BH71" i="1" s="1"/>
  <c r="BH42" i="1"/>
  <c r="BG52" i="1"/>
  <c r="BG51" i="1" s="1"/>
  <c r="BH44" i="1" l="1"/>
  <c r="BH74" i="1" s="1"/>
  <c r="BH73" i="1" s="1"/>
  <c r="BH75" i="1" s="1"/>
  <c r="BH55" i="1"/>
  <c r="BH56" i="1" l="1"/>
  <c r="BH52" i="1"/>
  <c r="BH51" i="1" s="1"/>
  <c r="BI42" i="1"/>
  <c r="BI43" i="1"/>
  <c r="BI44" i="1" l="1"/>
  <c r="BK43" i="1"/>
  <c r="BI46" i="1"/>
  <c r="BI55" i="1"/>
  <c r="BI56" i="1" s="1"/>
  <c r="BK46" i="1" l="1"/>
  <c r="BI70" i="1"/>
  <c r="BI71" i="1" s="1"/>
  <c r="BI52" i="1"/>
  <c r="BI74" i="1"/>
  <c r="BM21" i="1"/>
  <c r="BM25" i="1" s="1"/>
  <c r="BK47" i="1"/>
  <c r="BI51" i="1"/>
  <c r="BK52" i="1"/>
  <c r="B13" i="1" s="1"/>
  <c r="BI73" i="1" l="1"/>
  <c r="BI75" i="1" s="1"/>
</calcChain>
</file>

<file path=xl/sharedStrings.xml><?xml version="1.0" encoding="utf-8"?>
<sst xmlns="http://schemas.openxmlformats.org/spreadsheetml/2006/main" count="67" uniqueCount="66">
  <si>
    <t>Huur</t>
  </si>
  <si>
    <t>Personeel</t>
  </si>
  <si>
    <t>Huisvesting</t>
  </si>
  <si>
    <t>Kantoor</t>
  </si>
  <si>
    <t>Algemene kosten</t>
  </si>
  <si>
    <t>Afschrijvingen</t>
  </si>
  <si>
    <t>Interest</t>
  </si>
  <si>
    <t>Resultaat voor vpb</t>
  </si>
  <si>
    <t>Resultaat na vpb</t>
  </si>
  <si>
    <t>Cash flow</t>
  </si>
  <si>
    <t>Belastingen</t>
  </si>
  <si>
    <t>Onderhoud</t>
  </si>
  <si>
    <t>Inflatie</t>
  </si>
  <si>
    <t>Uitgangspunten</t>
  </si>
  <si>
    <t>Lening Rabo begin</t>
  </si>
  <si>
    <t>Lening Rabo eind</t>
  </si>
  <si>
    <t>Totaal</t>
  </si>
  <si>
    <t>Huurstijging</t>
  </si>
  <si>
    <t>Kostenstijging</t>
  </si>
  <si>
    <t>Totaal leenbedrag</t>
  </si>
  <si>
    <t>VPB</t>
  </si>
  <si>
    <t>Aflossingstermijn</t>
  </si>
  <si>
    <t>Actueel 4,8% maar Rabo geeft aan: reken met 5%</t>
  </si>
  <si>
    <t>Toelichting:</t>
  </si>
  <si>
    <t>Zoals de Rabo het graag wil: zelfde als kostenstijging/ inflatie</t>
  </si>
  <si>
    <t>Annuïtaire aflossing</t>
  </si>
  <si>
    <t>Aflossing achterstand</t>
  </si>
  <si>
    <t>Annuïteit afl. cum</t>
  </si>
  <si>
    <t>Feitelijke afl. cum</t>
  </si>
  <si>
    <t>Aflossing</t>
  </si>
  <si>
    <t>Annuïtair; risico 'renteaftrekbeperking onzakelijke leningen' (&gt;30 jaar) lijkt irrelevant</t>
  </si>
  <si>
    <t>Aflossing jaren</t>
  </si>
  <si>
    <t>Aflossing #jaren</t>
  </si>
  <si>
    <t>VPB- compensabel verlies</t>
  </si>
  <si>
    <t>Gemiddeld over de afgelopen 40 jaar 3,5-4,0%; laatste 20 jaar 2,5-3,0%</t>
  </si>
  <si>
    <t>Uitkomst: duur totdat het hele dorp afgelost kan zijn.</t>
  </si>
  <si>
    <t>Groeivoet van kosten onderhoud 2007-2025 was trendmatig gemiddeld 2,5%</t>
  </si>
  <si>
    <t>MJOP SHW</t>
  </si>
  <si>
    <t>Bank saldo</t>
  </si>
  <si>
    <t>Cum inflatie</t>
  </si>
  <si>
    <t>TOTAAL</t>
  </si>
  <si>
    <t>Werkkapitaal</t>
  </si>
  <si>
    <t>x1000</t>
  </si>
  <si>
    <t>Inflatie+groei onderhoud</t>
  </si>
  <si>
    <t>Onderhoud groei</t>
  </si>
  <si>
    <t>nee</t>
  </si>
  <si>
    <t>Totaal vaste kosten</t>
  </si>
  <si>
    <t>Taxatie onder WOZ</t>
  </si>
  <si>
    <t>x mio x2</t>
  </si>
  <si>
    <t>v20250409</t>
  </si>
  <si>
    <t>Prognose Wooncoöperatie Sidhadorp: 2026-35</t>
  </si>
  <si>
    <t>Rente</t>
  </si>
  <si>
    <t>Prognose 2036-45</t>
  </si>
  <si>
    <t>Prognose: 2046-55</t>
  </si>
  <si>
    <t>Prognose: 2056-65</t>
  </si>
  <si>
    <t>Prognose: 2066-75</t>
  </si>
  <si>
    <t>SHW</t>
  </si>
  <si>
    <t>Representatie</t>
  </si>
  <si>
    <t>Prognose Balansen</t>
  </si>
  <si>
    <t>Bank</t>
  </si>
  <si>
    <t>EV</t>
  </si>
  <si>
    <t>Lening bank</t>
  </si>
  <si>
    <t>Onroerend goed</t>
  </si>
  <si>
    <t>cum winst</t>
  </si>
  <si>
    <t>cum cf</t>
  </si>
  <si>
    <t>dum afschrijv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</si>
</sst>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4" formatCode="_ &quot;€&quot;\ * #,##0.00_ ;_ &quot;€&quot;\ * \-#,##0.00_ ;_ &quot;€&quot;\ * &quot;-&quot;??_ ;_ @_ "/>
    <numFmt numFmtId="43" formatCode="_ * #,##0.00_ ;_ * \-#,##0.00_ ;_ * &quot;-&quot;??_ ;_ @_ "/>
    <numFmt numFmtId="164" formatCode="_ * #,##0_ ;_ * \-#,##0_ ;_ * &quot;-&quot;??_ ;_ @_ "/>
    <numFmt numFmtId="165" formatCode="0.0%"/>
    <numFmt numFmtId="166" formatCode="_ &quot;€&quot;\ * #,##0.0_ ;_ &quot;€&quot;\ * \-#,##0.0_ ;_ &quot;€&quot;\ * &quot;-&quot;??_ ;_ @_ "/>
    <numFmt numFmtId="167" formatCode="_ &quot;€&quot;\ * #,##0_ ;_ &quot;€&quot;\ * \-#,##0_ ;_ &quot;€&quot;\ * &quot;-&quot;??_ ;_ @_ "/>
    <numFmt numFmtId="168" formatCode="_ &quot;€&quot;\ * #,##0.0_ ;_ &quot;€&quot;\ * \-#,##0.0_ ;_ &quot;€&quot;\ * &quot;-&quot;?_ ;_ @_ "/>
  </numFmts>
  <fonts count="13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20"/>
      <color theme="1"/>
      <name val="Century Gothic"/>
      <family val="2"/>
      <scheme val="minor"/>
    </font>
    <font>
      <b/>
      <sz val="14"/>
      <color theme="1"/>
      <name val="Century Gothic"/>
      <family val="2"/>
      <scheme val="minor"/>
    </font>
    <font>
      <b/>
      <sz val="11"/>
      <color theme="1"/>
      <name val="Century Gothic"/>
      <family val="1"/>
      <scheme val="minor"/>
    </font>
    <font>
      <sz val="10"/>
      <color theme="1"/>
      <name val="Century Gothic"/>
      <family val="2"/>
      <scheme val="minor"/>
    </font>
    <font>
      <u/>
      <sz val="11"/>
      <color theme="10"/>
      <name val="Century Gothic"/>
      <family val="2"/>
      <scheme val="minor"/>
    </font>
    <font>
      <sz val="10"/>
      <color theme="1"/>
      <name val="Century Gothic"/>
      <family val="1"/>
      <scheme val="minor"/>
    </font>
    <font>
      <b/>
      <sz val="11"/>
      <color theme="0"/>
      <name val="Century Gothic"/>
      <family val="1"/>
      <scheme val="minor"/>
    </font>
    <font>
      <sz val="8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1"/>
      <color theme="0"/>
      <name val="Century Gothic"/>
      <family val="1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0" fontId="2" fillId="0" borderId="1" xfId="0" applyFont="1" applyBorder="1"/>
    <xf numFmtId="164" fontId="0" fillId="0" borderId="0" xfId="1" applyNumberFormat="1" applyFont="1"/>
    <xf numFmtId="164" fontId="0" fillId="0" borderId="1" xfId="1" applyNumberFormat="1" applyFont="1" applyBorder="1"/>
    <xf numFmtId="164" fontId="0" fillId="0" borderId="0" xfId="1" applyNumberFormat="1" applyFont="1" applyBorder="1"/>
    <xf numFmtId="0" fontId="2" fillId="0" borderId="2" xfId="0" applyFont="1" applyBorder="1"/>
    <xf numFmtId="164" fontId="2" fillId="0" borderId="2" xfId="1" applyNumberFormat="1" applyFont="1" applyBorder="1"/>
    <xf numFmtId="164" fontId="0" fillId="0" borderId="0" xfId="0" applyNumberFormat="1"/>
    <xf numFmtId="0" fontId="2" fillId="0" borderId="0" xfId="0" applyFont="1" applyAlignment="1">
      <alignment wrapText="1"/>
    </xf>
    <xf numFmtId="164" fontId="1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9" fontId="2" fillId="0" borderId="0" xfId="0" applyNumberFormat="1" applyFont="1" applyAlignment="1">
      <alignment horizontal="right"/>
    </xf>
    <xf numFmtId="164" fontId="1" fillId="0" borderId="0" xfId="0" applyNumberFormat="1" applyFont="1"/>
    <xf numFmtId="0" fontId="1" fillId="0" borderId="0" xfId="0" applyFont="1"/>
    <xf numFmtId="0" fontId="2" fillId="0" borderId="1" xfId="0" applyFont="1" applyBorder="1" applyAlignment="1">
      <alignment horizontal="right"/>
    </xf>
    <xf numFmtId="0" fontId="6" fillId="0" borderId="0" xfId="0" applyFont="1"/>
    <xf numFmtId="0" fontId="7" fillId="0" borderId="0" xfId="2"/>
    <xf numFmtId="0" fontId="8" fillId="0" borderId="0" xfId="0" applyFont="1"/>
    <xf numFmtId="164" fontId="5" fillId="0" borderId="0" xfId="1" applyNumberFormat="1" applyFont="1"/>
    <xf numFmtId="164" fontId="5" fillId="0" borderId="1" xfId="1" applyNumberFormat="1" applyFont="1" applyBorder="1"/>
    <xf numFmtId="164" fontId="5" fillId="0" borderId="2" xfId="1" applyNumberFormat="1" applyFont="1" applyFill="1" applyBorder="1"/>
    <xf numFmtId="164" fontId="5" fillId="0" borderId="0" xfId="0" applyNumberFormat="1" applyFont="1"/>
    <xf numFmtId="0" fontId="2" fillId="0" borderId="0" xfId="0" applyFont="1" applyAlignment="1">
      <alignment horizontal="right"/>
    </xf>
    <xf numFmtId="166" fontId="9" fillId="0" borderId="0" xfId="0" applyNumberFormat="1" applyFont="1"/>
    <xf numFmtId="166" fontId="5" fillId="0" borderId="0" xfId="0" applyNumberFormat="1" applyFont="1"/>
    <xf numFmtId="165" fontId="5" fillId="0" borderId="0" xfId="0" applyNumberFormat="1" applyFont="1"/>
    <xf numFmtId="0" fontId="5" fillId="0" borderId="0" xfId="0" applyFont="1" applyAlignment="1">
      <alignment horizontal="right"/>
    </xf>
    <xf numFmtId="9" fontId="0" fillId="0" borderId="0" xfId="3" applyFont="1"/>
    <xf numFmtId="0" fontId="10" fillId="0" borderId="0" xfId="0" applyFont="1"/>
    <xf numFmtId="0" fontId="2" fillId="0" borderId="3" xfId="0" applyFont="1" applyBorder="1"/>
    <xf numFmtId="164" fontId="2" fillId="0" borderId="3" xfId="1" applyNumberFormat="1" applyFont="1" applyBorder="1"/>
    <xf numFmtId="164" fontId="5" fillId="0" borderId="3" xfId="1" applyNumberFormat="1" applyFont="1" applyBorder="1"/>
    <xf numFmtId="0" fontId="2" fillId="0" borderId="4" xfId="0" applyFont="1" applyBorder="1"/>
    <xf numFmtId="164" fontId="2" fillId="0" borderId="4" xfId="1" applyNumberFormat="1" applyFont="1" applyBorder="1"/>
    <xf numFmtId="164" fontId="5" fillId="0" borderId="4" xfId="1" applyNumberFormat="1" applyFont="1" applyBorder="1"/>
    <xf numFmtId="164" fontId="0" fillId="0" borderId="2" xfId="0" applyNumberFormat="1" applyBorder="1"/>
    <xf numFmtId="164" fontId="2" fillId="0" borderId="0" xfId="1" applyNumberFormat="1" applyFont="1" applyBorder="1"/>
    <xf numFmtId="165" fontId="0" fillId="0" borderId="0" xfId="0" applyNumberFormat="1"/>
    <xf numFmtId="164" fontId="11" fillId="0" borderId="1" xfId="1" applyNumberFormat="1" applyFont="1" applyBorder="1"/>
    <xf numFmtId="164" fontId="0" fillId="0" borderId="0" xfId="1" applyNumberFormat="1" applyFont="1" applyFill="1"/>
    <xf numFmtId="164" fontId="9" fillId="0" borderId="1" xfId="1" applyNumberFormat="1" applyFont="1" applyBorder="1"/>
    <xf numFmtId="164" fontId="12" fillId="0" borderId="1" xfId="1" applyNumberFormat="1" applyFont="1" applyBorder="1"/>
    <xf numFmtId="0" fontId="12" fillId="0" borderId="0" xfId="0" applyFont="1"/>
    <xf numFmtId="167" fontId="5" fillId="0" borderId="0" xfId="0" applyNumberFormat="1" applyFont="1"/>
    <xf numFmtId="0" fontId="0" fillId="0" borderId="2" xfId="0" applyBorder="1"/>
    <xf numFmtId="10" fontId="0" fillId="0" borderId="0" xfId="0" applyNumberFormat="1"/>
    <xf numFmtId="9" fontId="2" fillId="0" borderId="0" xfId="0" applyNumberFormat="1" applyFont="1"/>
    <xf numFmtId="164" fontId="5" fillId="0" borderId="2" xfId="0" applyNumberFormat="1" applyFont="1" applyBorder="1"/>
    <xf numFmtId="167" fontId="5" fillId="0" borderId="0" xfId="4" applyNumberFormat="1" applyFont="1"/>
    <xf numFmtId="9" fontId="2" fillId="0" borderId="0" xfId="0" applyNumberFormat="1" applyFont="1" applyAlignment="1">
      <alignment horizontal="left"/>
    </xf>
    <xf numFmtId="164" fontId="2" fillId="0" borderId="4" xfId="1" applyNumberFormat="1" applyFont="1" applyFill="1" applyBorder="1"/>
    <xf numFmtId="164" fontId="2" fillId="0" borderId="2" xfId="1" applyNumberFormat="1" applyFont="1" applyFill="1" applyBorder="1"/>
    <xf numFmtId="168" fontId="0" fillId="0" borderId="0" xfId="0" applyNumberFormat="1"/>
    <xf numFmtId="0" fontId="0" fillId="0" borderId="0" xfId="0" applyAlignment="1">
      <alignment horizontal="right"/>
    </xf>
  </cellXfs>
  <cellStyles count="5">
    <cellStyle name="Hyperlink" xfId="2" builtinId="8"/>
    <cellStyle name="Komma" xfId="1" builtinId="3"/>
    <cellStyle name="Procent" xfId="3" builtinId="5"/>
    <cellStyle name="Standaard" xfId="0" builtinId="0"/>
    <cellStyle name="Valuta" xfId="4" builtinId="4"/>
  </cellStyles>
  <dxfs count="4">
    <dxf>
      <fill>
        <patternFill>
          <bgColor theme="2" tint="0.79998168889431442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2" tint="0.79998168889431442"/>
        </patternFill>
      </fill>
    </dxf>
  </dxfs>
  <tableStyles count="1" defaultTableStyle="TableStyleMedium2" defaultPivotStyle="PivotStyleLight16">
    <tableStyle name="Tabelstijl 1" pivot="0" count="4" xr9:uid="{0D2DB25B-59C9-45B4-BAA2-E0E737F826EE}">
      <tableStyleElement type="wholeTable" dxfId="3"/>
      <tableStyleElement type="firstColumn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fficebox01\root09\Users\onnovanbekkum\Documents\CC%20PROJECTS\Sidhadorp\Businesscase%20Sidhadorp\Prognose%20komende%20jar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nnuitair%20Amortisatieschema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mortisatie schema"/>
      <sheetName val="Verschillende leningen"/>
    </sheetNames>
    <sheetDataSet>
      <sheetData sheetId="0">
        <row r="4">
          <cell r="E4">
            <v>24034770</v>
          </cell>
        </row>
        <row r="24">
          <cell r="I24">
            <v>110587.46919429537</v>
          </cell>
        </row>
        <row r="36">
          <cell r="I36">
            <v>116245.3340002132</v>
          </cell>
        </row>
        <row r="48">
          <cell r="I48">
            <v>122192.66590756013</v>
          </cell>
        </row>
        <row r="60">
          <cell r="I60">
            <v>128444.27460261942</v>
          </cell>
        </row>
        <row r="72">
          <cell r="I72">
            <v>135015.72746333195</v>
          </cell>
        </row>
        <row r="84">
          <cell r="I84">
            <v>141923.38832423885</v>
          </cell>
        </row>
        <row r="96">
          <cell r="I96">
            <v>149184.45822471316</v>
          </cell>
        </row>
        <row r="108">
          <cell r="I108">
            <v>156817.0182419476</v>
          </cell>
        </row>
        <row r="120">
          <cell r="I120">
            <v>164840.07451536</v>
          </cell>
        </row>
        <row r="132">
          <cell r="I132">
            <v>173273.60557453212</v>
          </cell>
        </row>
        <row r="144">
          <cell r="I144">
            <v>182138.61208853606</v>
          </cell>
        </row>
        <row r="156">
          <cell r="I156">
            <v>191457.16916053038</v>
          </cell>
        </row>
        <row r="168">
          <cell r="I168">
            <v>201252.48129784709</v>
          </cell>
        </row>
        <row r="180">
          <cell r="I180">
            <v>211548.940194453</v>
          </cell>
        </row>
        <row r="192">
          <cell r="I192">
            <v>222372.18546967048</v>
          </cell>
        </row>
        <row r="204">
          <cell r="I204">
            <v>233749.16851440756</v>
          </cell>
        </row>
        <row r="216">
          <cell r="I216">
            <v>245708.21960388173</v>
          </cell>
        </row>
        <row r="228">
          <cell r="I228">
            <v>258279.11844395805</v>
          </cell>
        </row>
        <row r="240">
          <cell r="I240">
            <v>271493.16832677188</v>
          </cell>
        </row>
        <row r="252">
          <cell r="I252">
            <v>285383.27408029436</v>
          </cell>
        </row>
        <row r="264">
          <cell r="I264">
            <v>299984.02400594507</v>
          </cell>
        </row>
        <row r="276">
          <cell r="I276">
            <v>315331.77600828861</v>
          </cell>
        </row>
        <row r="288">
          <cell r="I288">
            <v>331464.74813129019</v>
          </cell>
        </row>
        <row r="300">
          <cell r="I300">
            <v>348423.11372657772</v>
          </cell>
        </row>
        <row r="312">
          <cell r="I312">
            <v>366249.10149069247</v>
          </cell>
        </row>
        <row r="324">
          <cell r="I324">
            <v>384987.10062043567</v>
          </cell>
        </row>
        <row r="336">
          <cell r="I336">
            <v>404683.77134816302</v>
          </cell>
        </row>
        <row r="348">
          <cell r="I348">
            <v>425388.16113227239</v>
          </cell>
        </row>
        <row r="360">
          <cell r="I360">
            <v>447151.82679221994</v>
          </cell>
        </row>
        <row r="372">
          <cell r="I372">
            <v>470028.96289219393</v>
          </cell>
        </row>
        <row r="384">
          <cell r="I384">
            <v>494076.53669314139</v>
          </cell>
        </row>
        <row r="396">
          <cell r="I396">
            <v>519354.43000919622</v>
          </cell>
        </row>
        <row r="408">
          <cell r="I408">
            <v>545925.5883217525</v>
          </cell>
        </row>
        <row r="420">
          <cell r="I420">
            <v>573856.17752249516</v>
          </cell>
        </row>
        <row r="432">
          <cell r="I432">
            <v>603215.74867570261</v>
          </cell>
        </row>
        <row r="444">
          <cell r="I444">
            <v>634077.41121010215</v>
          </cell>
        </row>
        <row r="456">
          <cell r="I456">
            <v>666518.01497154718</v>
          </cell>
        </row>
        <row r="468">
          <cell r="I468">
            <v>700618.34158985701</v>
          </cell>
        </row>
        <row r="480">
          <cell r="I480">
            <v>736463.30563634657</v>
          </cell>
        </row>
        <row r="492">
          <cell r="I492">
            <v>774142.16607295687</v>
          </cell>
        </row>
        <row r="504">
          <cell r="I504">
            <v>813748.74851952516</v>
          </cell>
        </row>
        <row r="516">
          <cell r="I516">
            <v>855381.67889266962</v>
          </cell>
        </row>
        <row r="528">
          <cell r="I528">
            <v>899144.62899808167</v>
          </cell>
        </row>
        <row r="540">
          <cell r="I540">
            <v>945146.57468779036</v>
          </cell>
        </row>
        <row r="552">
          <cell r="I552">
            <v>993502.06722523691</v>
          </cell>
        </row>
        <row r="564">
          <cell r="I564">
            <v>1044331.5185339055</v>
          </cell>
        </row>
        <row r="576">
          <cell r="I576">
            <v>1097761.5010398123</v>
          </cell>
        </row>
        <row r="588">
          <cell r="I588">
            <v>1153925.0628545093</v>
          </cell>
        </row>
        <row r="600">
          <cell r="I600">
            <v>1212962.0590834443</v>
          </cell>
        </row>
        <row r="612">
          <cell r="I612">
            <v>1275019.5000846884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Segment">
  <a:themeElements>
    <a:clrScheme name="Segment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egment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egment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B33A8-47EE-4A7C-9638-6521C3D43D5C}">
  <dimension ref="A1:BO83"/>
  <sheetViews>
    <sheetView tabSelected="1" zoomScale="82" zoomScaleNormal="82" workbookViewId="0">
      <pane xSplit="3" ySplit="17" topLeftCell="D62" activePane="bottomRight" state="frozen"/>
      <selection pane="topRight" activeCell="D1" sqref="D1"/>
      <selection pane="bottomLeft" activeCell="A18" sqref="A18"/>
      <selection pane="bottomRight" activeCell="M37" sqref="M37"/>
    </sheetView>
  </sheetViews>
  <sheetFormatPr defaultColWidth="8.875" defaultRowHeight="16.5" x14ac:dyDescent="0.3"/>
  <cols>
    <col min="1" max="1" width="18.875" customWidth="1"/>
    <col min="2" max="2" width="9.125" customWidth="1"/>
    <col min="3" max="3" width="1.875" customWidth="1"/>
    <col min="4" max="13" width="7.625" customWidth="1"/>
    <col min="14" max="14" width="1.375" customWidth="1"/>
    <col min="15" max="24" width="7.625" customWidth="1"/>
    <col min="25" max="25" width="2.125" customWidth="1"/>
    <col min="26" max="35" width="7.625" customWidth="1"/>
    <col min="36" max="36" width="1" customWidth="1"/>
    <col min="37" max="37" width="7.875" customWidth="1"/>
    <col min="38" max="38" width="2.375" customWidth="1"/>
    <col min="39" max="48" width="7.625" customWidth="1"/>
    <col min="49" max="49" width="1.375" customWidth="1"/>
    <col min="50" max="50" width="8.5" customWidth="1"/>
    <col min="51" max="51" width="2.375" customWidth="1"/>
    <col min="52" max="61" width="7.875" customWidth="1"/>
    <col min="62" max="62" width="1" customWidth="1"/>
    <col min="63" max="63" width="8.5" customWidth="1"/>
  </cols>
  <sheetData>
    <row r="1" spans="1:63" ht="26.1" customHeight="1" x14ac:dyDescent="0.35">
      <c r="B1" s="55">
        <f>B2*0.6</f>
        <v>24.034770000000002</v>
      </c>
      <c r="D1">
        <f>1.6*15</f>
        <v>24</v>
      </c>
      <c r="M1" s="31" t="s">
        <v>49</v>
      </c>
      <c r="Z1" s="11"/>
      <c r="AM1" s="11"/>
      <c r="AZ1" s="11"/>
    </row>
    <row r="2" spans="1:63" x14ac:dyDescent="0.3">
      <c r="A2" s="9"/>
      <c r="B2" s="55">
        <f>B4/0.6</f>
        <v>40.057950000000005</v>
      </c>
    </row>
    <row r="3" spans="1:63" ht="18.75" x14ac:dyDescent="0.3">
      <c r="A3" s="12" t="s">
        <v>13</v>
      </c>
      <c r="B3" s="26">
        <v>49.127000000000002</v>
      </c>
      <c r="D3" s="13" t="s">
        <v>23</v>
      </c>
    </row>
    <row r="4" spans="1:63" ht="14.1" customHeight="1" x14ac:dyDescent="0.3">
      <c r="A4" s="9" t="s">
        <v>19</v>
      </c>
      <c r="B4" s="27">
        <f>(B3/2+B5/1000-B6)*1.02</f>
        <v>24.034770000000002</v>
      </c>
      <c r="C4" s="19"/>
      <c r="D4" s="20" t="str">
        <f>"x mio; WOZ 2025= 49.127; 1/2x = 24.564 +2% overdrachtsbel.= 25.055.770" &amp; IF(B5&gt;0,"+ " &amp; B5 &amp; " K werkkap.","")</f>
        <v>x mio; WOZ 2025= 49.127; 1/2x = 24.564 +2% overdrachtsbel.= 25.055.770</v>
      </c>
    </row>
    <row r="5" spans="1:63" ht="14.1" customHeight="1" x14ac:dyDescent="0.3">
      <c r="A5" s="9" t="s">
        <v>41</v>
      </c>
      <c r="B5" s="46">
        <v>0</v>
      </c>
      <c r="C5" s="19"/>
      <c r="D5" s="20" t="s">
        <v>42</v>
      </c>
    </row>
    <row r="6" spans="1:63" ht="14.1" customHeight="1" x14ac:dyDescent="0.3">
      <c r="A6" s="9" t="s">
        <v>47</v>
      </c>
      <c r="B6" s="51">
        <v>1</v>
      </c>
      <c r="C6" s="19"/>
      <c r="D6" s="20" t="s">
        <v>48</v>
      </c>
    </row>
    <row r="7" spans="1:63" x14ac:dyDescent="0.3">
      <c r="A7" s="9" t="s">
        <v>6</v>
      </c>
      <c r="B7" s="28">
        <v>0.05</v>
      </c>
      <c r="C7" s="19"/>
      <c r="D7" s="18" t="s">
        <v>22</v>
      </c>
    </row>
    <row r="8" spans="1:63" x14ac:dyDescent="0.3">
      <c r="A8" s="13" t="s">
        <v>17</v>
      </c>
      <c r="B8" s="28">
        <v>2.5000000000000001E-2</v>
      </c>
      <c r="C8" s="19"/>
      <c r="D8" s="18" t="s">
        <v>24</v>
      </c>
    </row>
    <row r="9" spans="1:63" x14ac:dyDescent="0.3">
      <c r="A9" s="13" t="s">
        <v>18</v>
      </c>
      <c r="B9" s="28">
        <v>2.5000000000000001E-2</v>
      </c>
      <c r="C9" s="19"/>
      <c r="D9" s="18" t="s">
        <v>34</v>
      </c>
    </row>
    <row r="10" spans="1:63" x14ac:dyDescent="0.3">
      <c r="A10" s="13" t="s">
        <v>44</v>
      </c>
      <c r="B10" s="28">
        <v>0.03</v>
      </c>
      <c r="C10" s="19"/>
      <c r="D10" s="18" t="s">
        <v>36</v>
      </c>
    </row>
    <row r="11" spans="1:63" hidden="1" x14ac:dyDescent="0.3">
      <c r="A11" s="9" t="s">
        <v>21</v>
      </c>
      <c r="B11" s="29">
        <v>50</v>
      </c>
      <c r="D11" s="18" t="s">
        <v>30</v>
      </c>
    </row>
    <row r="12" spans="1:63" x14ac:dyDescent="0.3">
      <c r="A12" s="9" t="s">
        <v>20</v>
      </c>
      <c r="B12" s="29" t="s">
        <v>45</v>
      </c>
      <c r="D12" s="18" t="str">
        <f>IF(B12="Ja","","Diverse bronnen vermelden dat een artikel 18a wooncoöperatie geen onderneming drijft.")</f>
        <v>Diverse bronnen vermelden dat een artikel 18a wooncoöperatie geen onderneming drijft.</v>
      </c>
    </row>
    <row r="13" spans="1:63" x14ac:dyDescent="0.3">
      <c r="A13" s="9" t="s">
        <v>32</v>
      </c>
      <c r="B13" s="29">
        <f>BK52</f>
        <v>39</v>
      </c>
      <c r="D13" s="18" t="s">
        <v>35</v>
      </c>
    </row>
    <row r="14" spans="1:63" ht="30.95" customHeight="1" x14ac:dyDescent="0.35">
      <c r="B14" s="49"/>
      <c r="D14" s="11" t="s">
        <v>50</v>
      </c>
      <c r="O14" s="11" t="s">
        <v>52</v>
      </c>
      <c r="Z14" s="11" t="s">
        <v>53</v>
      </c>
      <c r="AM14" s="11" t="s">
        <v>54</v>
      </c>
      <c r="AZ14" s="11" t="s">
        <v>55</v>
      </c>
    </row>
    <row r="15" spans="1:63" ht="18.75" x14ac:dyDescent="0.3">
      <c r="B15" s="14" t="s">
        <v>56</v>
      </c>
      <c r="D15" s="52"/>
      <c r="O15" s="12"/>
      <c r="Z15" s="12"/>
      <c r="AM15" s="12"/>
      <c r="AZ15" s="12"/>
    </row>
    <row r="16" spans="1:63" x14ac:dyDescent="0.3">
      <c r="B16" s="2">
        <f>+[1]Basis!$C$3</f>
        <v>2025</v>
      </c>
      <c r="C16" s="1"/>
      <c r="D16" s="2">
        <f>+B16+1</f>
        <v>2026</v>
      </c>
      <c r="E16" s="2">
        <f t="shared" ref="E16:M16" si="0">+D16+1</f>
        <v>2027</v>
      </c>
      <c r="F16" s="2">
        <f t="shared" si="0"/>
        <v>2028</v>
      </c>
      <c r="G16" s="2">
        <f t="shared" si="0"/>
        <v>2029</v>
      </c>
      <c r="H16" s="2">
        <f t="shared" si="0"/>
        <v>2030</v>
      </c>
      <c r="I16" s="2">
        <f t="shared" si="0"/>
        <v>2031</v>
      </c>
      <c r="J16" s="2">
        <f t="shared" si="0"/>
        <v>2032</v>
      </c>
      <c r="K16" s="2">
        <f t="shared" si="0"/>
        <v>2033</v>
      </c>
      <c r="L16" s="2">
        <f t="shared" si="0"/>
        <v>2034</v>
      </c>
      <c r="M16" s="2">
        <f t="shared" si="0"/>
        <v>2035</v>
      </c>
      <c r="O16" s="2">
        <f>+M16+1</f>
        <v>2036</v>
      </c>
      <c r="P16" s="2">
        <f t="shared" ref="P16:V16" si="1">+O16+1</f>
        <v>2037</v>
      </c>
      <c r="Q16" s="2">
        <f t="shared" si="1"/>
        <v>2038</v>
      </c>
      <c r="R16" s="2">
        <f t="shared" si="1"/>
        <v>2039</v>
      </c>
      <c r="S16" s="2">
        <f t="shared" si="1"/>
        <v>2040</v>
      </c>
      <c r="T16" s="2">
        <f t="shared" si="1"/>
        <v>2041</v>
      </c>
      <c r="U16" s="2">
        <f t="shared" si="1"/>
        <v>2042</v>
      </c>
      <c r="V16" s="2">
        <f t="shared" si="1"/>
        <v>2043</v>
      </c>
      <c r="W16" s="2">
        <f>+V16+1</f>
        <v>2044</v>
      </c>
      <c r="X16" s="2">
        <f>+W16+1</f>
        <v>2045</v>
      </c>
      <c r="Z16" s="2">
        <f>+X16+1</f>
        <v>2046</v>
      </c>
      <c r="AA16" s="2">
        <f t="shared" ref="AA16:AG16" si="2">+Z16+1</f>
        <v>2047</v>
      </c>
      <c r="AB16" s="2">
        <f t="shared" si="2"/>
        <v>2048</v>
      </c>
      <c r="AC16" s="2">
        <f t="shared" si="2"/>
        <v>2049</v>
      </c>
      <c r="AD16" s="2">
        <f t="shared" si="2"/>
        <v>2050</v>
      </c>
      <c r="AE16" s="2">
        <f t="shared" si="2"/>
        <v>2051</v>
      </c>
      <c r="AF16" s="2">
        <f t="shared" si="2"/>
        <v>2052</v>
      </c>
      <c r="AG16" s="2">
        <f t="shared" si="2"/>
        <v>2053</v>
      </c>
      <c r="AH16" s="2">
        <f>+AG16+1</f>
        <v>2054</v>
      </c>
      <c r="AI16" s="2">
        <f>+AH16+1</f>
        <v>2055</v>
      </c>
      <c r="AK16" s="17" t="s">
        <v>16</v>
      </c>
      <c r="AM16" s="2">
        <f>+AI16+1</f>
        <v>2056</v>
      </c>
      <c r="AN16" s="2">
        <f t="shared" ref="AN16:AV16" si="3">+AM16+1</f>
        <v>2057</v>
      </c>
      <c r="AO16" s="2">
        <f t="shared" si="3"/>
        <v>2058</v>
      </c>
      <c r="AP16" s="2">
        <f t="shared" si="3"/>
        <v>2059</v>
      </c>
      <c r="AQ16" s="2">
        <f t="shared" si="3"/>
        <v>2060</v>
      </c>
      <c r="AR16" s="2">
        <f t="shared" si="3"/>
        <v>2061</v>
      </c>
      <c r="AS16" s="2">
        <f t="shared" si="3"/>
        <v>2062</v>
      </c>
      <c r="AT16" s="2">
        <f t="shared" si="3"/>
        <v>2063</v>
      </c>
      <c r="AU16" s="2">
        <f t="shared" si="3"/>
        <v>2064</v>
      </c>
      <c r="AV16" s="2">
        <f t="shared" si="3"/>
        <v>2065</v>
      </c>
      <c r="AX16" s="17" t="s">
        <v>16</v>
      </c>
      <c r="AZ16" s="2">
        <f>+AV16+1</f>
        <v>2066</v>
      </c>
      <c r="BA16" s="2">
        <f t="shared" ref="BA16:BI16" si="4">+AZ16+1</f>
        <v>2067</v>
      </c>
      <c r="BB16" s="2">
        <f t="shared" si="4"/>
        <v>2068</v>
      </c>
      <c r="BC16" s="2">
        <f t="shared" si="4"/>
        <v>2069</v>
      </c>
      <c r="BD16" s="2">
        <f t="shared" si="4"/>
        <v>2070</v>
      </c>
      <c r="BE16" s="2">
        <f t="shared" si="4"/>
        <v>2071</v>
      </c>
      <c r="BF16" s="2">
        <f t="shared" si="4"/>
        <v>2072</v>
      </c>
      <c r="BG16" s="2">
        <f t="shared" si="4"/>
        <v>2073</v>
      </c>
      <c r="BH16" s="2">
        <f t="shared" si="4"/>
        <v>2074</v>
      </c>
      <c r="BI16" s="2">
        <f t="shared" si="4"/>
        <v>2075</v>
      </c>
      <c r="BK16" s="17" t="s">
        <v>40</v>
      </c>
    </row>
    <row r="17" spans="1:67" x14ac:dyDescent="0.3">
      <c r="B17" s="25"/>
      <c r="C17" s="1"/>
      <c r="D17" s="1">
        <v>1</v>
      </c>
      <c r="E17" s="1">
        <f t="shared" ref="E17:M17" si="5">D17+1</f>
        <v>2</v>
      </c>
      <c r="F17" s="1">
        <f t="shared" si="5"/>
        <v>3</v>
      </c>
      <c r="G17" s="1">
        <f t="shared" si="5"/>
        <v>4</v>
      </c>
      <c r="H17" s="1">
        <f t="shared" si="5"/>
        <v>5</v>
      </c>
      <c r="I17" s="1">
        <f t="shared" si="5"/>
        <v>6</v>
      </c>
      <c r="J17" s="1">
        <f t="shared" si="5"/>
        <v>7</v>
      </c>
      <c r="K17" s="1">
        <f t="shared" si="5"/>
        <v>8</v>
      </c>
      <c r="L17" s="1">
        <f t="shared" si="5"/>
        <v>9</v>
      </c>
      <c r="M17" s="1">
        <f t="shared" si="5"/>
        <v>10</v>
      </c>
      <c r="O17" s="1">
        <f>M17+1</f>
        <v>11</v>
      </c>
      <c r="P17" s="1">
        <f t="shared" ref="P17:X17" si="6">O17+1</f>
        <v>12</v>
      </c>
      <c r="Q17" s="1">
        <f t="shared" si="6"/>
        <v>13</v>
      </c>
      <c r="R17" s="1">
        <f t="shared" si="6"/>
        <v>14</v>
      </c>
      <c r="S17" s="1">
        <f t="shared" si="6"/>
        <v>15</v>
      </c>
      <c r="T17" s="1">
        <f t="shared" si="6"/>
        <v>16</v>
      </c>
      <c r="U17" s="1">
        <f t="shared" si="6"/>
        <v>17</v>
      </c>
      <c r="V17" s="1">
        <f t="shared" si="6"/>
        <v>18</v>
      </c>
      <c r="W17" s="1">
        <f t="shared" si="6"/>
        <v>19</v>
      </c>
      <c r="X17" s="1">
        <f t="shared" si="6"/>
        <v>20</v>
      </c>
      <c r="Z17" s="1">
        <f>X17+1</f>
        <v>21</v>
      </c>
      <c r="AA17" s="1">
        <f t="shared" ref="AA17:AI17" si="7">Z17+1</f>
        <v>22</v>
      </c>
      <c r="AB17" s="1">
        <f t="shared" si="7"/>
        <v>23</v>
      </c>
      <c r="AC17" s="1">
        <f t="shared" si="7"/>
        <v>24</v>
      </c>
      <c r="AD17" s="1">
        <f t="shared" si="7"/>
        <v>25</v>
      </c>
      <c r="AE17" s="1">
        <f t="shared" si="7"/>
        <v>26</v>
      </c>
      <c r="AF17" s="1">
        <f t="shared" si="7"/>
        <v>27</v>
      </c>
      <c r="AG17" s="1">
        <f t="shared" si="7"/>
        <v>28</v>
      </c>
      <c r="AH17" s="1">
        <f t="shared" si="7"/>
        <v>29</v>
      </c>
      <c r="AI17" s="1">
        <f t="shared" si="7"/>
        <v>30</v>
      </c>
      <c r="AK17" s="25"/>
      <c r="AM17" s="1">
        <f>AI17+1</f>
        <v>31</v>
      </c>
      <c r="AN17" s="1">
        <f t="shared" ref="AN17:AV17" si="8">AM17+1</f>
        <v>32</v>
      </c>
      <c r="AO17" s="1">
        <f t="shared" si="8"/>
        <v>33</v>
      </c>
      <c r="AP17" s="1">
        <f t="shared" si="8"/>
        <v>34</v>
      </c>
      <c r="AQ17" s="1">
        <f t="shared" si="8"/>
        <v>35</v>
      </c>
      <c r="AR17" s="1">
        <f t="shared" si="8"/>
        <v>36</v>
      </c>
      <c r="AS17" s="1">
        <f t="shared" si="8"/>
        <v>37</v>
      </c>
      <c r="AT17" s="1">
        <f t="shared" si="8"/>
        <v>38</v>
      </c>
      <c r="AU17" s="1">
        <f t="shared" si="8"/>
        <v>39</v>
      </c>
      <c r="AV17" s="1">
        <f t="shared" si="8"/>
        <v>40</v>
      </c>
      <c r="AX17" s="25"/>
      <c r="AZ17" s="1">
        <f>AV17+1</f>
        <v>41</v>
      </c>
      <c r="BA17" s="1">
        <f t="shared" ref="BA17:BI17" si="9">AZ17+1</f>
        <v>42</v>
      </c>
      <c r="BB17" s="1">
        <f t="shared" si="9"/>
        <v>43</v>
      </c>
      <c r="BC17" s="1">
        <f t="shared" si="9"/>
        <v>44</v>
      </c>
      <c r="BD17" s="1">
        <f t="shared" si="9"/>
        <v>45</v>
      </c>
      <c r="BE17" s="1">
        <f t="shared" si="9"/>
        <v>46</v>
      </c>
      <c r="BF17" s="1">
        <f t="shared" si="9"/>
        <v>47</v>
      </c>
      <c r="BG17" s="1">
        <f t="shared" si="9"/>
        <v>48</v>
      </c>
      <c r="BH17" s="1">
        <f t="shared" si="9"/>
        <v>49</v>
      </c>
      <c r="BI17" s="1">
        <f t="shared" si="9"/>
        <v>50</v>
      </c>
      <c r="BK17" s="25"/>
    </row>
    <row r="19" spans="1:67" x14ac:dyDescent="0.3">
      <c r="A19" s="2" t="s">
        <v>0</v>
      </c>
      <c r="B19" s="4">
        <f>+[1]Basis!$D$8</f>
        <v>1657.5</v>
      </c>
      <c r="C19" s="5"/>
      <c r="D19" s="4">
        <f>+[1]Basis!G$8</f>
        <v>1698.9374999999998</v>
      </c>
      <c r="E19" s="4">
        <f>+[1]Basis!I$8</f>
        <v>1741.4109374999996</v>
      </c>
      <c r="F19" s="4">
        <f>+[1]Basis!K$8</f>
        <v>1784.9462109374995</v>
      </c>
      <c r="G19" s="4">
        <f>+[1]Basis!M$8</f>
        <v>1829.5698662109369</v>
      </c>
      <c r="H19" s="4">
        <f>+[1]Basis!O$8</f>
        <v>1875.3091128662102</v>
      </c>
      <c r="I19" s="4">
        <f>+[1]Basis!Q$8</f>
        <v>1922.1918406878654</v>
      </c>
      <c r="J19" s="4">
        <f>+[1]Basis!S$8</f>
        <v>1970.2466367050617</v>
      </c>
      <c r="K19" s="4">
        <f>+[1]Basis!U$8</f>
        <v>2019.502802622688</v>
      </c>
      <c r="L19" s="4">
        <f>+[1]Basis!W$8</f>
        <v>2069.9903726882549</v>
      </c>
      <c r="M19" s="4">
        <f>+[1]Basis!Y$8</f>
        <v>2121.740132005461</v>
      </c>
      <c r="O19" s="4">
        <f>+[1]Basis!AA$8</f>
        <v>2174.7836353055973</v>
      </c>
      <c r="P19" s="4">
        <f>+[1]Basis!AC$8</f>
        <v>2229.1532261882371</v>
      </c>
      <c r="Q19" s="4">
        <f>+[1]Basis!AE$8</f>
        <v>2284.8820568429428</v>
      </c>
      <c r="R19" s="4">
        <f>+[1]Basis!AG$8</f>
        <v>2342.0041082640164</v>
      </c>
      <c r="S19" s="4">
        <f>+[1]Basis!AI$8</f>
        <v>2400.5542109706166</v>
      </c>
      <c r="T19" s="4">
        <f>+[1]Basis!AK$8</f>
        <v>2460.5680662448817</v>
      </c>
      <c r="U19" s="4">
        <f>+[1]Basis!AM$8</f>
        <v>2522.0822679010034</v>
      </c>
      <c r="V19" s="4">
        <f>+[1]Basis!AO$8</f>
        <v>2585.1343245985281</v>
      </c>
      <c r="W19" s="4">
        <f>+[1]Basis!AQ$8</f>
        <v>2649.7626827134909</v>
      </c>
      <c r="X19" s="4">
        <f>+[1]Basis!AS$8</f>
        <v>2716.0067497813279</v>
      </c>
      <c r="Z19" s="4">
        <f>+[1]Basis!AU$8</f>
        <v>2783.9069185258609</v>
      </c>
      <c r="AA19" s="4">
        <f>+[1]Basis!AW$8</f>
        <v>2853.504591489007</v>
      </c>
      <c r="AB19" s="4">
        <f>+[1]Basis!AY$8</f>
        <v>2924.842206276232</v>
      </c>
      <c r="AC19" s="4">
        <f>+[1]Basis!BA$8</f>
        <v>2997.9632614331376</v>
      </c>
      <c r="AD19" s="4">
        <f>+[1]Basis!BC$8</f>
        <v>3072.9123429689657</v>
      </c>
      <c r="AE19" s="4">
        <f>+[1]Basis!BE$8</f>
        <v>3149.7351515431897</v>
      </c>
      <c r="AF19" s="4">
        <f>+[1]Basis!BG$8</f>
        <v>3228.478530331769</v>
      </c>
      <c r="AG19" s="4">
        <f>+[1]Basis!BI$8</f>
        <v>3309.1904935900629</v>
      </c>
      <c r="AH19" s="4">
        <f>+[1]Basis!BK$8</f>
        <v>3391.9202559298142</v>
      </c>
      <c r="AI19" s="4">
        <f>+[1]Basis!BM$8</f>
        <v>3476.7182623280592</v>
      </c>
      <c r="AK19" s="22">
        <f>SUM(D19:AI19)</f>
        <v>74587.948755450707</v>
      </c>
      <c r="AM19" s="4">
        <f>+[1]Basis!BO$8</f>
        <v>3563.6362188862604</v>
      </c>
      <c r="AN19" s="4">
        <f>+[1]Basis!BQ$8</f>
        <v>3652.7271243584164</v>
      </c>
      <c r="AO19" s="4">
        <f>+[1]Basis!BS$8</f>
        <v>3744.0453024673766</v>
      </c>
      <c r="AP19" s="4">
        <f>+[1]Basis!BU$8</f>
        <v>3837.6464350290607</v>
      </c>
      <c r="AQ19" s="4">
        <f>+[1]Basis!BW$8</f>
        <v>3933.5875959047871</v>
      </c>
      <c r="AR19" s="4">
        <f>+[1]Basis!BY$8</f>
        <v>4031.9272858024065</v>
      </c>
      <c r="AS19" s="4">
        <f>+[1]Basis!CA$8</f>
        <v>4132.7254679474663</v>
      </c>
      <c r="AT19" s="4">
        <f>+[1]Basis!CC$8</f>
        <v>4236.0436046461527</v>
      </c>
      <c r="AU19" s="4">
        <f>+[1]Basis!CE$8</f>
        <v>4341.9446947623064</v>
      </c>
      <c r="AV19" s="4">
        <f>+[1]Basis!CG$8</f>
        <v>4450.4933121313634</v>
      </c>
      <c r="AX19" s="21">
        <f>SUM(D19:AI19)+SUM(AM19:AV19)</f>
        <v>114512.72579738632</v>
      </c>
      <c r="AZ19" s="4">
        <f>+[1]Basis!CI$8</f>
        <v>4561.7556449346466</v>
      </c>
      <c r="BA19" s="4">
        <f>+[1]Basis!CK$8</f>
        <v>4675.7995360580126</v>
      </c>
      <c r="BB19" s="4">
        <f>+[1]Basis!CM$8</f>
        <v>4792.6945244594626</v>
      </c>
      <c r="BC19" s="4">
        <f>+[1]Basis!CO$8</f>
        <v>4912.5118875709486</v>
      </c>
      <c r="BD19" s="4">
        <f>+[1]Basis!CQ$8</f>
        <v>5035.3246847602222</v>
      </c>
      <c r="BE19" s="4">
        <f>+[1]Basis!CS$8</f>
        <v>5161.2078018792272</v>
      </c>
      <c r="BF19" s="4">
        <f>+[1]Basis!CU$8</f>
        <v>5290.2379969262074</v>
      </c>
      <c r="BG19" s="4">
        <f>+[1]Basis!CW$8</f>
        <v>5422.4939468493621</v>
      </c>
      <c r="BH19" s="4">
        <f>+[1]Basis!CY$8</f>
        <v>5558.056295520596</v>
      </c>
      <c r="BI19" s="4">
        <f>+[1]Basis!DA$8</f>
        <v>5697.0077029086106</v>
      </c>
      <c r="BK19" s="22">
        <f>SUM(D19:AI19)+SUM(AM19:AV19)+SUM(AZ19:BI19)</f>
        <v>165619.81581925362</v>
      </c>
    </row>
    <row r="20" spans="1:67" x14ac:dyDescent="0.3">
      <c r="A20" s="1"/>
      <c r="B20" s="3"/>
      <c r="C20" s="5"/>
      <c r="D20" s="3"/>
      <c r="E20" s="3"/>
      <c r="F20" s="3"/>
      <c r="G20" s="3"/>
      <c r="H20" s="3"/>
      <c r="I20" s="3"/>
      <c r="J20" s="3"/>
      <c r="K20" s="3"/>
      <c r="L20" s="3"/>
      <c r="M20" s="3"/>
      <c r="O20" s="3"/>
      <c r="P20" s="3"/>
      <c r="Q20" s="3"/>
      <c r="R20" s="3"/>
      <c r="S20" s="3"/>
      <c r="T20" s="3"/>
      <c r="U20" s="3"/>
      <c r="V20" s="3"/>
      <c r="W20" s="3"/>
      <c r="X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K20" s="21"/>
      <c r="AM20" s="3"/>
      <c r="AN20" s="3"/>
      <c r="AO20" s="3"/>
      <c r="AP20" s="3"/>
      <c r="AQ20" s="3"/>
      <c r="AR20" s="3"/>
      <c r="AS20" s="3"/>
      <c r="AT20" s="3"/>
      <c r="AU20" s="3"/>
      <c r="AV20" s="3"/>
      <c r="AX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K20" s="3"/>
      <c r="BM20">
        <v>50</v>
      </c>
      <c r="BN20">
        <v>40</v>
      </c>
      <c r="BO20">
        <v>30</v>
      </c>
    </row>
    <row r="21" spans="1:67" x14ac:dyDescent="0.3">
      <c r="A21" s="1" t="s">
        <v>11</v>
      </c>
      <c r="B21" s="3">
        <f>+[1]Basis!$D$15</f>
        <v>419</v>
      </c>
      <c r="C21" s="5"/>
      <c r="D21" s="10">
        <f>+[1]Basis!G$15*D59</f>
        <v>73.13</v>
      </c>
      <c r="E21" s="10">
        <f>+[1]Basis!I$15*E59</f>
        <v>75.323899999999995</v>
      </c>
      <c r="F21" s="10">
        <f>+[1]Basis!K$15*F59</f>
        <v>77.583617000000004</v>
      </c>
      <c r="G21" s="10">
        <f>+[1]Basis!M$15*G59</f>
        <v>79.911125510000005</v>
      </c>
      <c r="H21" s="10">
        <f>+[1]Basis!O$15*H59</f>
        <v>82.308459275300009</v>
      </c>
      <c r="I21" s="3">
        <f>+[1]Basis!Q$15*I59</f>
        <v>415.53019919209203</v>
      </c>
      <c r="J21" s="3">
        <f>+[1]Basis!S$15*J59</f>
        <v>427.99610516785481</v>
      </c>
      <c r="K21" s="3">
        <f>+[1]Basis!U$15*K59</f>
        <v>440.8359883228905</v>
      </c>
      <c r="L21" s="3">
        <f>+[1]Basis!W$15*L59</f>
        <v>454.06106797257723</v>
      </c>
      <c r="M21" s="3">
        <f>+[1]Basis!Y$15*M59</f>
        <v>467.68290001175455</v>
      </c>
      <c r="O21" s="3">
        <f>+[1]Basis!AA$15*O59</f>
        <v>481.71338701210721</v>
      </c>
      <c r="P21" s="3">
        <f>+[1]Basis!AC$15*P59</f>
        <v>496.16478862247038</v>
      </c>
      <c r="Q21" s="3">
        <f>+[1]Basis!AE$15*Q59</f>
        <v>511.04973228114454</v>
      </c>
      <c r="R21" s="3">
        <f>+[1]Basis!AG$15*R59</f>
        <v>526.38122424957896</v>
      </c>
      <c r="S21" s="3">
        <f>+[1]Basis!AI$15*S59</f>
        <v>542.17266097706636</v>
      </c>
      <c r="T21" s="3">
        <f>+[1]Basis!AK$15*T59</f>
        <v>558.4378408063784</v>
      </c>
      <c r="U21" s="3">
        <f>+[1]Basis!AM$15*U59</f>
        <v>575.19097603056969</v>
      </c>
      <c r="V21" s="3">
        <f>+[1]Basis!AO$15*V59</f>
        <v>592.44670531148677</v>
      </c>
      <c r="W21" s="3">
        <f>+[1]Basis!AQ$15*W59</f>
        <v>610.22010647083141</v>
      </c>
      <c r="X21" s="3">
        <f>+[1]Basis!AS$15*X59</f>
        <v>628.52670966495646</v>
      </c>
      <c r="Z21" s="3">
        <f>+[1]Basis!AU$15*Z59</f>
        <v>647.38251095490523</v>
      </c>
      <c r="AA21" s="3">
        <f>+[1]Basis!AW$15*AA59</f>
        <v>666.80398628355238</v>
      </c>
      <c r="AB21" s="3">
        <f>+[1]Basis!AY$15*AB59</f>
        <v>686.80810587205895</v>
      </c>
      <c r="AC21" s="3">
        <f>+[1]Basis!BA$15*AC59</f>
        <v>707.41234904822079</v>
      </c>
      <c r="AD21" s="3">
        <f>+[1]Basis!BC$15*AD59</f>
        <v>728.63471951966733</v>
      </c>
      <c r="AE21" s="3">
        <f>+[1]Basis!BE$15*AE59</f>
        <v>750.49376110525748</v>
      </c>
      <c r="AF21" s="3">
        <f>+[1]Basis!BG$15*AF59</f>
        <v>773.00857393841522</v>
      </c>
      <c r="AG21" s="3">
        <f>+[1]Basis!BI$15*AG59</f>
        <v>796.19883115656762</v>
      </c>
      <c r="AH21" s="3">
        <f>+[1]Basis!BK$15*AH59</f>
        <v>820.08479609126471</v>
      </c>
      <c r="AI21" s="42">
        <f>+[1]Basis!BM$15*AI59</f>
        <v>844.68733997400261</v>
      </c>
      <c r="AK21" s="21">
        <f t="shared" ref="AK21:AK28" si="10">SUM(D21:AI21)</f>
        <v>15538.182467822973</v>
      </c>
      <c r="AM21" s="3">
        <f>+[1]Basis!BO$15*AM59</f>
        <v>870.0279601732226</v>
      </c>
      <c r="AN21" s="3">
        <f>+[1]Basis!BQ$15*AN59</f>
        <v>896.12879897841935</v>
      </c>
      <c r="AO21" s="3">
        <f>+[1]Basis!BS$15*AO59</f>
        <v>923.01266294777201</v>
      </c>
      <c r="AP21" s="3">
        <f>+[1]Basis!BU$15*AP59</f>
        <v>950.7030428362051</v>
      </c>
      <c r="AQ21" s="3">
        <f>+[1]Basis!BW$15*AQ59</f>
        <v>979.22413412129117</v>
      </c>
      <c r="AR21" s="3">
        <f>+[1]Basis!BY$15*AR59</f>
        <v>1008.60085814493</v>
      </c>
      <c r="AS21" s="3">
        <f>+[1]Basis!CA$15*AS59</f>
        <v>1038.8588838892779</v>
      </c>
      <c r="AT21" s="3">
        <f>+[1]Basis!CC$15*AT59</f>
        <v>1070.0246504059562</v>
      </c>
      <c r="AU21" s="3">
        <f>+[1]Basis!CE$15*AU59</f>
        <v>1102.1253899181349</v>
      </c>
      <c r="AV21" s="3">
        <f>+[1]Basis!CG$15*AV59</f>
        <v>1135.1891516156791</v>
      </c>
      <c r="AX21" s="21">
        <f t="shared" ref="AX21:AX28" si="11">SUM(D21:AI21)+SUM(AM21:AV21)</f>
        <v>25512.078000853864</v>
      </c>
      <c r="AZ21" s="3">
        <f>+[1]Basis!CI$15*AZ59</f>
        <v>1169.2448261641493</v>
      </c>
      <c r="BA21" s="3">
        <f>+[1]Basis!CK$15*BA59</f>
        <v>1204.322170949074</v>
      </c>
      <c r="BB21" s="3">
        <f>+[1]Basis!CM$15*BB59</f>
        <v>1240.4518360775462</v>
      </c>
      <c r="BC21" s="3">
        <f>+[1]Basis!CO$15*BC59</f>
        <v>1277.6653911598728</v>
      </c>
      <c r="BD21" s="3">
        <f>+[1]Basis!CQ$15*BD59</f>
        <v>1315.9953528946689</v>
      </c>
      <c r="BE21" s="3">
        <f>+[1]Basis!CS$15*BE59</f>
        <v>1355.4752134815092</v>
      </c>
      <c r="BF21" s="3">
        <f>+[1]Basis!CU$15*BF59</f>
        <v>1396.1394698859544</v>
      </c>
      <c r="BG21" s="3">
        <f>+[1]Basis!CW$15*BG59</f>
        <v>1438.0236539825332</v>
      </c>
      <c r="BH21" s="3">
        <f>+[1]Basis!CY$15*BH59</f>
        <v>1481.1643636020092</v>
      </c>
      <c r="BI21" s="3">
        <f>+[1]Basis!DA$15*BI59</f>
        <v>1525.5992945100693</v>
      </c>
      <c r="BK21" s="21">
        <f t="shared" ref="BK21:BK28" si="12">SUM(D21:AI21)+SUM(AM21:AV21)+SUM(AZ21:BI21)</f>
        <v>38916.15957356125</v>
      </c>
      <c r="BL21" s="8"/>
      <c r="BM21" s="8">
        <f>BK21+BK46</f>
        <v>68428.144430068554</v>
      </c>
      <c r="BN21" s="8">
        <f>AX21</f>
        <v>25512.078000853864</v>
      </c>
      <c r="BO21" s="8">
        <f>AK21</f>
        <v>15538.182467822973</v>
      </c>
    </row>
    <row r="22" spans="1:67" x14ac:dyDescent="0.3">
      <c r="A22" s="1" t="s">
        <v>1</v>
      </c>
      <c r="B22" s="3">
        <f>+[1]Basis!$D$24</f>
        <v>152</v>
      </c>
      <c r="C22" s="5"/>
      <c r="D22" s="3">
        <f>+[1]Basis!G$24*D$58</f>
        <v>185.52499999999998</v>
      </c>
      <c r="E22" s="3">
        <f>+[1]Basis!I$24*E$58</f>
        <v>190.16312499999998</v>
      </c>
      <c r="F22" s="3">
        <f>+[1]Basis!K$24*F$58</f>
        <v>194.91720312499999</v>
      </c>
      <c r="G22" s="3">
        <f>+[1]Basis!M$24*G$58</f>
        <v>199.79013320312495</v>
      </c>
      <c r="H22" s="3">
        <f>+[1]Basis!O$24*H$58</f>
        <v>204.78488653320306</v>
      </c>
      <c r="I22" s="3">
        <f>+[1]Basis!Q$24*I$58</f>
        <v>209.90450869653313</v>
      </c>
      <c r="J22" s="3">
        <f>+[1]Basis!S$24*J$58</f>
        <v>215.15212141394642</v>
      </c>
      <c r="K22" s="3">
        <f>+[1]Basis!U$24*K$58</f>
        <v>220.53092444929507</v>
      </c>
      <c r="L22" s="3">
        <f>+[1]Basis!W$24*L$58</f>
        <v>226.04419756052741</v>
      </c>
      <c r="M22" s="3">
        <f>+[1]Basis!Y$24*M$58</f>
        <v>231.69530249954056</v>
      </c>
      <c r="O22" s="3">
        <f>+[1]Basis!AA$24*O$58</f>
        <v>237.48768506202907</v>
      </c>
      <c r="P22" s="3">
        <f>+[1]Basis!AC$24*P$58</f>
        <v>243.42487718857979</v>
      </c>
      <c r="Q22" s="3">
        <f>+[1]Basis!AE$24*Q$58</f>
        <v>249.51049911829426</v>
      </c>
      <c r="R22" s="3">
        <f>+[1]Basis!AG$24*R$58</f>
        <v>255.74826159625158</v>
      </c>
      <c r="S22" s="3">
        <f>+[1]Basis!AI$24*S$58</f>
        <v>262.14196813615786</v>
      </c>
      <c r="T22" s="3">
        <f>+[1]Basis!AK$24*T$58</f>
        <v>268.69551733956177</v>
      </c>
      <c r="U22" s="3">
        <f>+[1]Basis!AM$24*U$58</f>
        <v>275.4129052730508</v>
      </c>
      <c r="V22" s="3">
        <f>+[1]Basis!AO$24*V$58</f>
        <v>282.29822790487702</v>
      </c>
      <c r="W22" s="3">
        <f>+[1]Basis!AQ$24*W$58</f>
        <v>289.35568360249891</v>
      </c>
      <c r="X22" s="3">
        <f>+[1]Basis!AS$24*X$58</f>
        <v>296.58957569256137</v>
      </c>
      <c r="Z22" s="3">
        <f>+[1]Basis!AU$24*Z$58</f>
        <v>304.00431508487537</v>
      </c>
      <c r="AA22" s="3">
        <f>+[1]Basis!AW$24*AA$58</f>
        <v>311.60442296199722</v>
      </c>
      <c r="AB22" s="3">
        <f>+[1]Basis!AY$24*AB$58</f>
        <v>319.39453353604711</v>
      </c>
      <c r="AC22" s="3">
        <f>+[1]Basis!BA$24*AC$58</f>
        <v>327.37939687444828</v>
      </c>
      <c r="AD22" s="3">
        <f>+[1]Basis!BC$24*AD$58</f>
        <v>335.56388179630943</v>
      </c>
      <c r="AE22" s="3">
        <f>+[1]Basis!BE$24*AE$58</f>
        <v>343.95297884121715</v>
      </c>
      <c r="AF22" s="3">
        <f>+[1]Basis!BG$24*AF$58</f>
        <v>352.55180331224756</v>
      </c>
      <c r="AG22" s="3">
        <f>+[1]Basis!BI$24*AG$58</f>
        <v>361.36559839505372</v>
      </c>
      <c r="AH22" s="3">
        <f>+[1]Basis!BK$24*AH$58</f>
        <v>370.39973835492998</v>
      </c>
      <c r="AI22" s="3">
        <f>+[1]Basis!BM$24*AI$58</f>
        <v>379.65973181380321</v>
      </c>
      <c r="AK22" s="21">
        <f t="shared" si="10"/>
        <v>8145.0490043659611</v>
      </c>
      <c r="AM22" s="3">
        <f>+[1]Basis!BO$24*AM$58</f>
        <v>389.15122510914824</v>
      </c>
      <c r="AN22" s="3">
        <f>+[1]Basis!BQ$24*AN$58</f>
        <v>398.88000573687691</v>
      </c>
      <c r="AO22" s="3">
        <f>+[1]Basis!BS$24*AO$58</f>
        <v>408.8520058802988</v>
      </c>
      <c r="AP22" s="3">
        <f>+[1]Basis!BU$24*AP$58</f>
        <v>419.07330602730622</v>
      </c>
      <c r="AQ22" s="3">
        <f>+[1]Basis!BW$24*AQ$58</f>
        <v>429.55013867798885</v>
      </c>
      <c r="AR22" s="3">
        <f>+[1]Basis!BY$24*AR$58</f>
        <v>440.28889214493853</v>
      </c>
      <c r="AS22" s="3">
        <f>+[1]Basis!CA$24*AS$58</f>
        <v>451.29611444856198</v>
      </c>
      <c r="AT22" s="3">
        <f>+[1]Basis!CC$24*AT$58</f>
        <v>462.57851730977598</v>
      </c>
      <c r="AU22" s="3">
        <f>+[1]Basis!CE$24*AU$58</f>
        <v>474.14298024252037</v>
      </c>
      <c r="AV22" s="3">
        <f>+[1]Basis!CG$24*AV$58</f>
        <v>485.99655474858332</v>
      </c>
      <c r="AX22" s="21">
        <f t="shared" si="11"/>
        <v>12504.858744691961</v>
      </c>
      <c r="AZ22" s="3">
        <f>+[1]Basis!CI$24*AZ$58</f>
        <v>498.14646861729784</v>
      </c>
      <c r="BA22" s="3">
        <f>+[1]Basis!CK$24*BA$58</f>
        <v>510.60013033273032</v>
      </c>
      <c r="BB22" s="3">
        <f>+[1]Basis!CM$24*BB$58</f>
        <v>523.36513359104856</v>
      </c>
      <c r="BC22" s="3">
        <f>+[1]Basis!CO$24*BC$58</f>
        <v>536.44926193082472</v>
      </c>
      <c r="BD22" s="3">
        <f>+[1]Basis!CQ$24*BD$58</f>
        <v>549.86049347909534</v>
      </c>
      <c r="BE22" s="3">
        <f>+[1]Basis!CS$24*BE$58</f>
        <v>563.60700581607261</v>
      </c>
      <c r="BF22" s="3">
        <f>+[1]Basis!CU$24*BF$58</f>
        <v>577.69718096147449</v>
      </c>
      <c r="BG22" s="3">
        <f>+[1]Basis!CW$24*BG$58</f>
        <v>592.1396104855113</v>
      </c>
      <c r="BH22" s="3">
        <f>+[1]Basis!CY$24*BH$58</f>
        <v>606.94310074764905</v>
      </c>
      <c r="BI22" s="3">
        <f>+[1]Basis!DA$24*BI$58</f>
        <v>622.11667826634016</v>
      </c>
      <c r="BK22" s="21">
        <f t="shared" si="12"/>
        <v>18085.783808920005</v>
      </c>
    </row>
    <row r="23" spans="1:67" x14ac:dyDescent="0.3">
      <c r="A23" s="1" t="s">
        <v>2</v>
      </c>
      <c r="B23" s="3">
        <f>+[1]Basis!$D$28</f>
        <v>95</v>
      </c>
      <c r="C23" s="5"/>
      <c r="D23" s="3">
        <f>+[1]Basis!G$28*D$58</f>
        <v>97.374999999999986</v>
      </c>
      <c r="E23" s="3">
        <f>+[1]Basis!I$28*E$58</f>
        <v>99.809374999999989</v>
      </c>
      <c r="F23" s="3">
        <f>+[1]Basis!K$28*F$58</f>
        <v>102.30460937499998</v>
      </c>
      <c r="G23" s="3">
        <f>+[1]Basis!M$28*G$58</f>
        <v>104.86222460937498</v>
      </c>
      <c r="H23" s="3">
        <f>+[1]Basis!O$28*H$58</f>
        <v>107.48378022460935</v>
      </c>
      <c r="I23" s="3">
        <f>+[1]Basis!Q$28*I$58</f>
        <v>110.17087473022457</v>
      </c>
      <c r="J23" s="3">
        <f>+[1]Basis!S$28*J$58</f>
        <v>112.92514659848017</v>
      </c>
      <c r="K23" s="3">
        <f>+[1]Basis!U$28*K$58</f>
        <v>115.74827526344217</v>
      </c>
      <c r="L23" s="3">
        <f>+[1]Basis!W$28*L$58</f>
        <v>118.64198214502819</v>
      </c>
      <c r="M23" s="3">
        <f>+[1]Basis!Y$28*M$58</f>
        <v>121.60803169865387</v>
      </c>
      <c r="O23" s="3">
        <f>+[1]Basis!AA$28*O$58</f>
        <v>124.64823249112023</v>
      </c>
      <c r="P23" s="3">
        <f>+[1]Basis!AC$28*P$58</f>
        <v>127.76443830339822</v>
      </c>
      <c r="Q23" s="3">
        <f>+[1]Basis!AE$28*Q$58</f>
        <v>130.95854926098318</v>
      </c>
      <c r="R23" s="3">
        <f>+[1]Basis!AG$28*R$58</f>
        <v>134.23251299250774</v>
      </c>
      <c r="S23" s="3">
        <f>+[1]Basis!AI$28*S$58</f>
        <v>137.58832581732042</v>
      </c>
      <c r="T23" s="3">
        <f>+[1]Basis!AK$28*T$58</f>
        <v>141.02803396275343</v>
      </c>
      <c r="U23" s="3">
        <f>+[1]Basis!AM$28*U$58</f>
        <v>144.55373481182224</v>
      </c>
      <c r="V23" s="3">
        <f>+[1]Basis!AO$28*V$58</f>
        <v>148.16757818211778</v>
      </c>
      <c r="W23" s="3">
        <f>+[1]Basis!AQ$28*W$58</f>
        <v>151.87176763667071</v>
      </c>
      <c r="X23" s="3">
        <f>+[1]Basis!AS$28*X$58</f>
        <v>155.66856182758744</v>
      </c>
      <c r="Z23" s="3">
        <f>+[1]Basis!AU$28*Z$58</f>
        <v>159.56027587327713</v>
      </c>
      <c r="AA23" s="3">
        <f>+[1]Basis!AW$28*AA$58</f>
        <v>163.54928277010902</v>
      </c>
      <c r="AB23" s="3">
        <f>+[1]Basis!AY$28*AB$58</f>
        <v>167.63801483936174</v>
      </c>
      <c r="AC23" s="3">
        <f>+[1]Basis!BA$28*AC$58</f>
        <v>171.82896521034579</v>
      </c>
      <c r="AD23" s="3">
        <f>+[1]Basis!BC$28*AD$58</f>
        <v>176.12468934060439</v>
      </c>
      <c r="AE23" s="3">
        <f>+[1]Basis!BE$28*AE$58</f>
        <v>180.5278065741195</v>
      </c>
      <c r="AF23" s="3">
        <f>+[1]Basis!BG$28*AF$58</f>
        <v>185.04100173847246</v>
      </c>
      <c r="AG23" s="3">
        <f>+[1]Basis!BI$28*AG$58</f>
        <v>189.66702678193425</v>
      </c>
      <c r="AH23" s="3">
        <f>+[1]Basis!BK$28*AH$58</f>
        <v>194.40870245148258</v>
      </c>
      <c r="AI23" s="3">
        <f>+[1]Basis!BM$28*AI$58</f>
        <v>199.26892001276966</v>
      </c>
      <c r="AK23" s="21">
        <f t="shared" si="10"/>
        <v>4275.0257205235703</v>
      </c>
      <c r="AM23" s="3">
        <f>+[1]Basis!BO$28*AM$58</f>
        <v>204.25064301308888</v>
      </c>
      <c r="AN23" s="3">
        <f>+[1]Basis!BQ$28*AN$58</f>
        <v>209.35690908841605</v>
      </c>
      <c r="AO23" s="3">
        <f>+[1]Basis!BS$28*AO$58</f>
        <v>214.59083181562644</v>
      </c>
      <c r="AP23" s="3">
        <f>+[1]Basis!BU$28*AP$58</f>
        <v>219.95560261101707</v>
      </c>
      <c r="AQ23" s="3">
        <f>+[1]Basis!BW$28*AQ$58</f>
        <v>225.45449267629249</v>
      </c>
      <c r="AR23" s="3">
        <f>+[1]Basis!BY$28*AR$58</f>
        <v>231.09085499319977</v>
      </c>
      <c r="AS23" s="3">
        <f>+[1]Basis!CA$28*AS$58</f>
        <v>236.86812636802975</v>
      </c>
      <c r="AT23" s="3">
        <f>+[1]Basis!CC$28*AT$58</f>
        <v>242.78982952723049</v>
      </c>
      <c r="AU23" s="3">
        <f>+[1]Basis!CE$28*AU$58</f>
        <v>248.85957526541125</v>
      </c>
      <c r="AV23" s="3">
        <f>+[1]Basis!CG$28*AV$58</f>
        <v>255.0810646470465</v>
      </c>
      <c r="AX23" s="21">
        <f t="shared" si="11"/>
        <v>6563.3236505289287</v>
      </c>
      <c r="AZ23" s="3">
        <f>+[1]Basis!CI$28*AZ$58</f>
        <v>261.45809126322263</v>
      </c>
      <c r="BA23" s="3">
        <f>+[1]Basis!CK$28*BA$58</f>
        <v>267.99454354480321</v>
      </c>
      <c r="BB23" s="3">
        <f>+[1]Basis!CM$28*BB$58</f>
        <v>274.69440713342323</v>
      </c>
      <c r="BC23" s="3">
        <f>+[1]Basis!CO$28*BC$58</f>
        <v>281.56176731175884</v>
      </c>
      <c r="BD23" s="3">
        <f>+[1]Basis!CQ$28*BD$58</f>
        <v>288.60081149455277</v>
      </c>
      <c r="BE23" s="3">
        <f>+[1]Basis!CS$28*BE$58</f>
        <v>295.81583178191659</v>
      </c>
      <c r="BF23" s="3">
        <f>+[1]Basis!CU$28*BF$58</f>
        <v>303.21122757646447</v>
      </c>
      <c r="BG23" s="3">
        <f>+[1]Basis!CW$28*BG$58</f>
        <v>310.79150826587608</v>
      </c>
      <c r="BH23" s="3">
        <f>+[1]Basis!CY$28*BH$58</f>
        <v>318.56129597252294</v>
      </c>
      <c r="BI23" s="3">
        <f>+[1]Basis!DA$28*BI$58</f>
        <v>326.525328371836</v>
      </c>
      <c r="BK23" s="21">
        <f t="shared" si="12"/>
        <v>9492.538463245306</v>
      </c>
      <c r="BM23" s="8">
        <f>BK61</f>
        <v>75072.233277847481</v>
      </c>
      <c r="BN23" s="8">
        <f>AX61</f>
        <v>39327.833140358402</v>
      </c>
      <c r="BO23" s="8">
        <f>AK61</f>
        <v>29345.589433594116</v>
      </c>
    </row>
    <row r="24" spans="1:67" x14ac:dyDescent="0.3">
      <c r="A24" s="1" t="s">
        <v>3</v>
      </c>
      <c r="B24" s="3">
        <f>+[1]Basis!$D$31</f>
        <v>2</v>
      </c>
      <c r="C24" s="5"/>
      <c r="D24" s="3">
        <f>+[1]Basis!G$31*D$58</f>
        <v>2.0499999999999998</v>
      </c>
      <c r="E24" s="3">
        <f>+[1]Basis!I$31*E$58</f>
        <v>2.1012499999999998</v>
      </c>
      <c r="F24" s="3">
        <f>+[1]Basis!K$31*F$58</f>
        <v>2.1537812499999998</v>
      </c>
      <c r="G24" s="3">
        <f>+[1]Basis!M$31*G$58</f>
        <v>2.2076257812499995</v>
      </c>
      <c r="H24" s="3">
        <f>+[1]Basis!O$31*H$58</f>
        <v>2.2628164257812493</v>
      </c>
      <c r="I24" s="3">
        <f>+[1]Basis!Q$31*I$58</f>
        <v>2.3193868364257804</v>
      </c>
      <c r="J24" s="3">
        <f>+[1]Basis!S$31*J$58</f>
        <v>2.3773715073364245</v>
      </c>
      <c r="K24" s="3">
        <f>+[1]Basis!U$31*K$58</f>
        <v>2.436805795019835</v>
      </c>
      <c r="L24" s="3">
        <f>+[1]Basis!W$31*L$58</f>
        <v>2.4977259398953304</v>
      </c>
      <c r="M24" s="3">
        <f>+[1]Basis!Y$31*M$58</f>
        <v>2.5601690883927133</v>
      </c>
      <c r="O24" s="3">
        <f>+[1]Basis!AA$31*O$58</f>
        <v>2.6241733156025311</v>
      </c>
      <c r="P24" s="3">
        <f>+[1]Basis!AC$31*P$58</f>
        <v>2.6897776484925942</v>
      </c>
      <c r="Q24" s="3">
        <f>+[1]Basis!AE$31*Q$58</f>
        <v>2.7570220897049089</v>
      </c>
      <c r="R24" s="3">
        <f>+[1]Basis!AG$31*R$58</f>
        <v>2.8259476419475313</v>
      </c>
      <c r="S24" s="3">
        <f>+[1]Basis!AI$31*S$58</f>
        <v>2.8965963329962192</v>
      </c>
      <c r="T24" s="3">
        <f>+[1]Basis!AK$31*T$58</f>
        <v>2.9690112413211245</v>
      </c>
      <c r="U24" s="3">
        <f>+[1]Basis!AM$31*U$58</f>
        <v>3.0432365223541522</v>
      </c>
      <c r="V24" s="3">
        <f>+[1]Basis!AO$31*V$58</f>
        <v>3.1193174354130058</v>
      </c>
      <c r="W24" s="3">
        <f>+[1]Basis!AQ$31*W$58</f>
        <v>3.1973003712983306</v>
      </c>
      <c r="X24" s="3">
        <f>+[1]Basis!AS$31*X$58</f>
        <v>3.2772328805807884</v>
      </c>
      <c r="Z24" s="3">
        <f>+[1]Basis!AU$31*Z$58</f>
        <v>3.3591637025953078</v>
      </c>
      <c r="AA24" s="3">
        <f>+[1]Basis!AW$31*AA$58</f>
        <v>3.4431427951601901</v>
      </c>
      <c r="AB24" s="3">
        <f>+[1]Basis!AY$31*AB$58</f>
        <v>3.5292213650391946</v>
      </c>
      <c r="AC24" s="3">
        <f>+[1]Basis!BA$31*AC$58</f>
        <v>3.6174518991651743</v>
      </c>
      <c r="AD24" s="3">
        <f>+[1]Basis!BC$31*AD$58</f>
        <v>3.7078881966443031</v>
      </c>
      <c r="AE24" s="3">
        <f>+[1]Basis!BE$31*AE$58</f>
        <v>3.8005854015604106</v>
      </c>
      <c r="AF24" s="3">
        <f>+[1]Basis!BG$31*AF$58</f>
        <v>3.8956000365994203</v>
      </c>
      <c r="AG24" s="3">
        <f>+[1]Basis!BI$31*AG$58</f>
        <v>3.9929900375144056</v>
      </c>
      <c r="AH24" s="3">
        <f>+[1]Basis!BK$31*AH$58</f>
        <v>4.092814788452265</v>
      </c>
      <c r="AI24" s="3">
        <f>+[1]Basis!BM$31*AI$58</f>
        <v>4.1951351581635716</v>
      </c>
      <c r="AK24" s="21">
        <f t="shared" si="10"/>
        <v>90.000541484706744</v>
      </c>
      <c r="AM24" s="3">
        <f>+[1]Basis!BO$31*AM$58</f>
        <v>4.3000135371176604</v>
      </c>
      <c r="AN24" s="3">
        <f>+[1]Basis!BQ$31*AN$58</f>
        <v>4.4075138755456011</v>
      </c>
      <c r="AO24" s="3">
        <f>+[1]Basis!BS$31*AO$58</f>
        <v>4.5177017224342411</v>
      </c>
      <c r="AP24" s="3">
        <f>+[1]Basis!BU$31*AP$58</f>
        <v>4.6306442654950963</v>
      </c>
      <c r="AQ24" s="3">
        <f>+[1]Basis!BW$31*AQ$58</f>
        <v>4.7464103721324733</v>
      </c>
      <c r="AR24" s="3">
        <f>+[1]Basis!BY$31*AR$58</f>
        <v>4.8650706314357848</v>
      </c>
      <c r="AS24" s="3">
        <f>+[1]Basis!CA$31*AS$58</f>
        <v>4.986697397221679</v>
      </c>
      <c r="AT24" s="3">
        <f>+[1]Basis!CC$31*AT$58</f>
        <v>5.1113648321522209</v>
      </c>
      <c r="AU24" s="3">
        <f>+[1]Basis!CE$31*AU$58</f>
        <v>5.2391489529560262</v>
      </c>
      <c r="AV24" s="3">
        <f>+[1]Basis!CG$31*AV$58</f>
        <v>5.3701276767799264</v>
      </c>
      <c r="AX24" s="21">
        <f t="shared" si="11"/>
        <v>138.17523474797747</v>
      </c>
      <c r="AZ24" s="3">
        <f>+[1]Basis!CI$31*AZ$58</f>
        <v>5.5043808686994238</v>
      </c>
      <c r="BA24" s="3">
        <f>+[1]Basis!CK$31*BA$58</f>
        <v>5.6419903904169093</v>
      </c>
      <c r="BB24" s="3">
        <f>+[1]Basis!CM$31*BB$58</f>
        <v>5.7830401501773316</v>
      </c>
      <c r="BC24" s="3">
        <f>+[1]Basis!CO$31*BC$58</f>
        <v>5.9276161539317647</v>
      </c>
      <c r="BD24" s="3">
        <f>+[1]Basis!CQ$31*BD$58</f>
        <v>6.0758065577800586</v>
      </c>
      <c r="BE24" s="3">
        <f>+[1]Basis!CS$31*BE$58</f>
        <v>6.2277017217245598</v>
      </c>
      <c r="BF24" s="3">
        <f>+[1]Basis!CU$31*BF$58</f>
        <v>6.3833942647676736</v>
      </c>
      <c r="BG24" s="3">
        <f>+[1]Basis!CW$31*BG$58</f>
        <v>6.5429791213868649</v>
      </c>
      <c r="BH24" s="3">
        <f>+[1]Basis!CY$31*BH$58</f>
        <v>6.7065535994215359</v>
      </c>
      <c r="BI24" s="3">
        <f>+[1]Basis!DA$31*BI$58</f>
        <v>6.8742174394070741</v>
      </c>
      <c r="BK24" s="21">
        <f t="shared" si="12"/>
        <v>199.84291501569066</v>
      </c>
    </row>
    <row r="25" spans="1:67" x14ac:dyDescent="0.3">
      <c r="A25" s="1" t="s">
        <v>57</v>
      </c>
      <c r="B25" s="3">
        <f>+[1]Basis!$D$35</f>
        <v>21</v>
      </c>
      <c r="C25" s="5"/>
      <c r="D25" s="3">
        <f>+[1]Basis!G$35*D$58</f>
        <v>11.274999999999999</v>
      </c>
      <c r="E25" s="3">
        <f>+[1]Basis!I$35*E$58</f>
        <v>11.556875</v>
      </c>
      <c r="F25" s="3">
        <f>+[1]Basis!K$35*F$58</f>
        <v>11.845796874999998</v>
      </c>
      <c r="G25" s="3">
        <f>+[1]Basis!M$35*G$58</f>
        <v>12.141941796874997</v>
      </c>
      <c r="H25" s="3">
        <f>+[1]Basis!O$35*H$58</f>
        <v>12.445490341796871</v>
      </c>
      <c r="I25" s="3">
        <f>+[1]Basis!Q$35*I$58</f>
        <v>12.756627600341792</v>
      </c>
      <c r="J25" s="3">
        <f>+[1]Basis!S$35*J$58</f>
        <v>13.075543290350335</v>
      </c>
      <c r="K25" s="3">
        <f>+[1]Basis!U$35*K$58</f>
        <v>13.402431872609093</v>
      </c>
      <c r="L25" s="3">
        <f>+[1]Basis!W$35*L$58</f>
        <v>13.737492669424316</v>
      </c>
      <c r="M25" s="3">
        <f>+[1]Basis!Y$35*M$58</f>
        <v>14.080929986159923</v>
      </c>
      <c r="O25" s="3">
        <f>+[1]Basis!AA$35*O$58</f>
        <v>14.432953235813921</v>
      </c>
      <c r="P25" s="3">
        <f>+[1]Basis!AC$35*P$58</f>
        <v>14.793777066709268</v>
      </c>
      <c r="Q25" s="3">
        <f>+[1]Basis!AE$35*Q$58</f>
        <v>15.163621493376999</v>
      </c>
      <c r="R25" s="3">
        <f>+[1]Basis!AG$35*R$58</f>
        <v>15.542712030711423</v>
      </c>
      <c r="S25" s="3">
        <f>+[1]Basis!AI$35*S$58</f>
        <v>15.931279831479205</v>
      </c>
      <c r="T25" s="3">
        <f>+[1]Basis!AK$35*T$58</f>
        <v>16.329561827266186</v>
      </c>
      <c r="U25" s="3">
        <f>+[1]Basis!AM$35*U$58</f>
        <v>16.737800872947837</v>
      </c>
      <c r="V25" s="3">
        <f>+[1]Basis!AO$35*V$58</f>
        <v>17.15624589477153</v>
      </c>
      <c r="W25" s="3">
        <f>+[1]Basis!AQ$35*W$58</f>
        <v>17.58515204214082</v>
      </c>
      <c r="X25" s="3">
        <f>+[1]Basis!AS$35*X$58</f>
        <v>18.024780843194335</v>
      </c>
      <c r="Z25" s="3">
        <f>+[1]Basis!AU$35*Z$58</f>
        <v>18.475400364274194</v>
      </c>
      <c r="AA25" s="3">
        <f>+[1]Basis!AW$35*AA$58</f>
        <v>18.937285373381044</v>
      </c>
      <c r="AB25" s="3">
        <f>+[1]Basis!AY$35*AB$58</f>
        <v>19.410717507715571</v>
      </c>
      <c r="AC25" s="3">
        <f>+[1]Basis!BA$35*AC$58</f>
        <v>19.89598544540846</v>
      </c>
      <c r="AD25" s="3">
        <f>+[1]Basis!BC$35*AD$58</f>
        <v>20.393385081543666</v>
      </c>
      <c r="AE25" s="3">
        <f>+[1]Basis!BE$35*AE$58</f>
        <v>20.90321970858226</v>
      </c>
      <c r="AF25" s="3">
        <f>+[1]Basis!BG$35*AF$58</f>
        <v>21.425800201296813</v>
      </c>
      <c r="AG25" s="3">
        <f>+[1]Basis!BI$35*AG$58</f>
        <v>21.96144520632923</v>
      </c>
      <c r="AH25" s="3">
        <f>+[1]Basis!BK$35*AH$58</f>
        <v>22.510481336487459</v>
      </c>
      <c r="AI25" s="3">
        <f>+[1]Basis!BM$35*AI$58</f>
        <v>23.073243369899643</v>
      </c>
      <c r="AK25" s="21">
        <f t="shared" si="10"/>
        <v>495.00297816588716</v>
      </c>
      <c r="AM25" s="3">
        <f>+[1]Basis!BO$35*AM$58</f>
        <v>23.650074454147131</v>
      </c>
      <c r="AN25" s="3">
        <f>+[1]Basis!BQ$35*AN$58</f>
        <v>24.241326315500807</v>
      </c>
      <c r="AO25" s="3">
        <f>+[1]Basis!BS$35*AO$58</f>
        <v>24.847359473388327</v>
      </c>
      <c r="AP25" s="3">
        <f>+[1]Basis!BU$35*AP$58</f>
        <v>25.468543460223032</v>
      </c>
      <c r="AQ25" s="3">
        <f>+[1]Basis!BW$35*AQ$58</f>
        <v>26.105257046728603</v>
      </c>
      <c r="AR25" s="3">
        <f>+[1]Basis!BY$35*AR$58</f>
        <v>26.757888472896816</v>
      </c>
      <c r="AS25" s="3">
        <f>+[1]Basis!CA$35*AS$58</f>
        <v>27.426835684719236</v>
      </c>
      <c r="AT25" s="3">
        <f>+[1]Basis!CC$35*AT$58</f>
        <v>28.112506576837216</v>
      </c>
      <c r="AU25" s="3">
        <f>+[1]Basis!CE$35*AU$58</f>
        <v>28.815319241258145</v>
      </c>
      <c r="AV25" s="3">
        <f>+[1]Basis!CG$35*AV$58</f>
        <v>29.535702222289594</v>
      </c>
      <c r="AX25" s="21">
        <f t="shared" si="11"/>
        <v>759.96379111387614</v>
      </c>
      <c r="AZ25" s="3">
        <f>+[1]Basis!CI$35*AZ$58</f>
        <v>30.27409477784683</v>
      </c>
      <c r="BA25" s="3">
        <f>+[1]Basis!CK$35*BA$58</f>
        <v>31.030947147293002</v>
      </c>
      <c r="BB25" s="3">
        <f>+[1]Basis!CM$35*BB$58</f>
        <v>31.806720825975326</v>
      </c>
      <c r="BC25" s="3">
        <f>+[1]Basis!CO$35*BC$58</f>
        <v>32.601888846624703</v>
      </c>
      <c r="BD25" s="3">
        <f>+[1]Basis!CQ$35*BD$58</f>
        <v>33.416936067790324</v>
      </c>
      <c r="BE25" s="3">
        <f>+[1]Basis!CS$35*BE$58</f>
        <v>34.252359469485079</v>
      </c>
      <c r="BF25" s="3">
        <f>+[1]Basis!CU$35*BF$58</f>
        <v>35.108668456222205</v>
      </c>
      <c r="BG25" s="3">
        <f>+[1]Basis!CW$35*BG$58</f>
        <v>35.986385167627759</v>
      </c>
      <c r="BH25" s="3">
        <f>+[1]Basis!CY$35*BH$58</f>
        <v>36.886044796818446</v>
      </c>
      <c r="BI25" s="3">
        <f>+[1]Basis!DA$35*BI$58</f>
        <v>37.80819591673891</v>
      </c>
      <c r="BK25" s="21">
        <f t="shared" si="12"/>
        <v>1099.1360325862988</v>
      </c>
      <c r="BM25" s="30">
        <f>BM21/BM23</f>
        <v>0.91149738648124801</v>
      </c>
      <c r="BN25" s="30">
        <f>BN21/BN23</f>
        <v>0.64870286419805956</v>
      </c>
      <c r="BO25" s="30">
        <f>BO21/BO23</f>
        <v>0.52948953378442765</v>
      </c>
    </row>
    <row r="26" spans="1:67" x14ac:dyDescent="0.3">
      <c r="A26" s="1" t="s">
        <v>4</v>
      </c>
      <c r="B26" s="3">
        <f>+[1]Basis!$D$50</f>
        <v>317</v>
      </c>
      <c r="C26" s="5"/>
      <c r="D26" s="3">
        <f>+[1]Basis!G$50*D$58</f>
        <v>65.599999999999994</v>
      </c>
      <c r="E26" s="3">
        <f>+[1]Basis!I$50*E$58</f>
        <v>67.239999999999995</v>
      </c>
      <c r="F26" s="3">
        <f>+[1]Basis!K$50*F$58</f>
        <v>68.920999999999992</v>
      </c>
      <c r="G26" s="3">
        <f>+[1]Basis!M$50*G$58</f>
        <v>70.644024999999985</v>
      </c>
      <c r="H26" s="3">
        <f>+[1]Basis!O$50*H$58</f>
        <v>72.410125624999978</v>
      </c>
      <c r="I26" s="3">
        <f>+[1]Basis!Q$50*I$58</f>
        <v>74.220378765624972</v>
      </c>
      <c r="J26" s="3">
        <f>+[1]Basis!S$50*J$58</f>
        <v>76.075888234765586</v>
      </c>
      <c r="K26" s="3">
        <f>+[1]Basis!U$50*K$58</f>
        <v>77.977785440634719</v>
      </c>
      <c r="L26" s="3">
        <f>+[1]Basis!W$50*L$58</f>
        <v>79.927230076650574</v>
      </c>
      <c r="M26" s="3">
        <f>+[1]Basis!Y$50*M$58</f>
        <v>81.925410828566825</v>
      </c>
      <c r="O26" s="3">
        <f>+[1]Basis!AA$50*O$58</f>
        <v>83.973546099280995</v>
      </c>
      <c r="P26" s="3">
        <f>+[1]Basis!AC$50*P$58</f>
        <v>86.072884751763013</v>
      </c>
      <c r="Q26" s="3">
        <f>+[1]Basis!AE$50*Q$58</f>
        <v>88.224706870557085</v>
      </c>
      <c r="R26" s="3">
        <f>+[1]Basis!AG$50*R$58</f>
        <v>90.430324542321003</v>
      </c>
      <c r="S26" s="3">
        <f>+[1]Basis!AI$50*S$58</f>
        <v>92.691082655879015</v>
      </c>
      <c r="T26" s="3">
        <f>+[1]Basis!AK$50*T$58</f>
        <v>95.008359722275983</v>
      </c>
      <c r="U26" s="3">
        <f>+[1]Basis!AM$50*U$58</f>
        <v>97.383568715332871</v>
      </c>
      <c r="V26" s="3">
        <f>+[1]Basis!AO$50*V$58</f>
        <v>99.818157933216185</v>
      </c>
      <c r="W26" s="3">
        <f>+[1]Basis!AQ$50*W$58</f>
        <v>102.31361188154658</v>
      </c>
      <c r="X26" s="3">
        <f>+[1]Basis!AS$50*X$58</f>
        <v>104.87145217858523</v>
      </c>
      <c r="Z26" s="3">
        <f>+[1]Basis!AU$50*Z$58</f>
        <v>107.49323848304985</v>
      </c>
      <c r="AA26" s="3">
        <f>+[1]Basis!AW$50*AA$58</f>
        <v>110.18056944512608</v>
      </c>
      <c r="AB26" s="3">
        <f>+[1]Basis!AY$50*AB$58</f>
        <v>112.93508368125423</v>
      </c>
      <c r="AC26" s="3">
        <f>+[1]Basis!BA$50*AC$58</f>
        <v>115.75846077328558</v>
      </c>
      <c r="AD26" s="3">
        <f>+[1]Basis!BC$50*AD$58</f>
        <v>118.6524222926177</v>
      </c>
      <c r="AE26" s="3">
        <f>+[1]Basis!BE$50*AE$58</f>
        <v>121.61873284993314</v>
      </c>
      <c r="AF26" s="3">
        <f>+[1]Basis!BG$50*AF$58</f>
        <v>124.65920117118145</v>
      </c>
      <c r="AG26" s="3">
        <f>+[1]Basis!BI$50*AG$58</f>
        <v>127.77568120046098</v>
      </c>
      <c r="AH26" s="3">
        <f>+[1]Basis!BK$50*AH$58</f>
        <v>130.97007323047248</v>
      </c>
      <c r="AI26" s="3">
        <f>+[1]Basis!BM$50*AI$58</f>
        <v>134.24432506123429</v>
      </c>
      <c r="AK26" s="21">
        <f t="shared" si="10"/>
        <v>2880.0173275106158</v>
      </c>
      <c r="AM26" s="3">
        <f>+[1]Basis!BO$50*AM$58</f>
        <v>137.60043318776513</v>
      </c>
      <c r="AN26" s="3">
        <f>+[1]Basis!BQ$50*AN$58</f>
        <v>141.04044401745924</v>
      </c>
      <c r="AO26" s="3">
        <f>+[1]Basis!BS$50*AO$58</f>
        <v>144.56645511789571</v>
      </c>
      <c r="AP26" s="3">
        <f>+[1]Basis!BU$50*AP$58</f>
        <v>148.18061649584308</v>
      </c>
      <c r="AQ26" s="3">
        <f>+[1]Basis!BW$50*AQ$58</f>
        <v>151.88513190823915</v>
      </c>
      <c r="AR26" s="3">
        <f>+[1]Basis!BY$50*AR$58</f>
        <v>155.68226020594511</v>
      </c>
      <c r="AS26" s="3">
        <f>+[1]Basis!CA$50*AS$58</f>
        <v>159.57431671109373</v>
      </c>
      <c r="AT26" s="3">
        <f>+[1]Basis!CC$50*AT$58</f>
        <v>163.56367462887107</v>
      </c>
      <c r="AU26" s="3">
        <f>+[1]Basis!CE$50*AU$58</f>
        <v>167.65276649459284</v>
      </c>
      <c r="AV26" s="3">
        <f>+[1]Basis!CG$50*AV$58</f>
        <v>171.84408565695765</v>
      </c>
      <c r="AX26" s="21">
        <f t="shared" si="11"/>
        <v>4421.607511935279</v>
      </c>
      <c r="AZ26" s="3">
        <f>+[1]Basis!CI$50*AZ$58</f>
        <v>176.14018779838156</v>
      </c>
      <c r="BA26" s="3">
        <f>+[1]Basis!CK$50*BA$58</f>
        <v>180.5436924933411</v>
      </c>
      <c r="BB26" s="3">
        <f>+[1]Basis!CM$50*BB$58</f>
        <v>185.05728480567461</v>
      </c>
      <c r="BC26" s="3">
        <f>+[1]Basis!CO$50*BC$58</f>
        <v>189.68371692581647</v>
      </c>
      <c r="BD26" s="3">
        <f>+[1]Basis!CQ$50*BD$58</f>
        <v>194.42580984896188</v>
      </c>
      <c r="BE26" s="3">
        <f>+[1]Basis!CS$50*BE$58</f>
        <v>199.28645509518591</v>
      </c>
      <c r="BF26" s="3">
        <f>+[1]Basis!CU$50*BF$58</f>
        <v>204.26861647256555</v>
      </c>
      <c r="BG26" s="3">
        <f>+[1]Basis!CW$50*BG$58</f>
        <v>209.37533188437968</v>
      </c>
      <c r="BH26" s="3">
        <f>+[1]Basis!CY$50*BH$58</f>
        <v>214.60971518148915</v>
      </c>
      <c r="BI26" s="3">
        <f>+[1]Basis!DA$50*BI$58</f>
        <v>219.97495806102637</v>
      </c>
      <c r="BK26" s="21">
        <f t="shared" si="12"/>
        <v>6394.9732805021013</v>
      </c>
    </row>
    <row r="27" spans="1:67" x14ac:dyDescent="0.3">
      <c r="A27" s="2" t="s">
        <v>5</v>
      </c>
      <c r="B27" s="4">
        <f>+[1]Basis!$D$52</f>
        <v>9</v>
      </c>
      <c r="C27" s="5"/>
      <c r="D27" s="4">
        <f>+[1]Basis!G$52*D$58</f>
        <v>9.2249999999999996</v>
      </c>
      <c r="E27" s="4">
        <f>+[1]Basis!I$52*E$58</f>
        <v>9.4556249999999995</v>
      </c>
      <c r="F27" s="4">
        <f>+[1]Basis!K$52*F$58</f>
        <v>9.6920156249999998</v>
      </c>
      <c r="G27" s="4">
        <f>+[1]Basis!M$52*G$58</f>
        <v>9.9343160156249972</v>
      </c>
      <c r="H27" s="4">
        <f>+[1]Basis!O$52*H$58</f>
        <v>10.182673916015622</v>
      </c>
      <c r="I27" s="4">
        <f>+[1]Basis!Q$52*I$58</f>
        <v>10.437240763916012</v>
      </c>
      <c r="J27" s="4">
        <f>+[1]Basis!S$52*J$58</f>
        <v>10.69817178301391</v>
      </c>
      <c r="K27" s="4">
        <f>+[1]Basis!U$52*K$58</f>
        <v>10.965626077589258</v>
      </c>
      <c r="L27" s="4">
        <f>+[1]Basis!W$52*L$58</f>
        <v>11.239766729528988</v>
      </c>
      <c r="M27" s="4">
        <f>+[1]Basis!Y$52*M$58</f>
        <v>11.520760897767209</v>
      </c>
      <c r="O27" s="4">
        <f>+[1]Basis!AA$52*O$58</f>
        <v>11.808779920211389</v>
      </c>
      <c r="P27" s="4">
        <f>+[1]Basis!AC$52*P$58</f>
        <v>12.103999418216674</v>
      </c>
      <c r="Q27" s="4">
        <f>+[1]Basis!AE$52*Q$58</f>
        <v>12.406599403672089</v>
      </c>
      <c r="R27" s="4">
        <f>+[1]Basis!AG$52*R$58</f>
        <v>12.716764388763892</v>
      </c>
      <c r="S27" s="4">
        <f>+[1]Basis!AI$52*S$58</f>
        <v>13.034683498482986</v>
      </c>
      <c r="T27" s="4">
        <f>+[1]Basis!AK$52*T$58</f>
        <v>13.36055058594506</v>
      </c>
      <c r="U27" s="4">
        <f>+[1]Basis!AM$52*U$58</f>
        <v>13.694564350593685</v>
      </c>
      <c r="V27" s="4">
        <f>+[1]Basis!AO$52*V$58</f>
        <v>14.036928459358526</v>
      </c>
      <c r="W27" s="4">
        <f>+[1]Basis!AQ$52*W$58</f>
        <v>14.387851670842487</v>
      </c>
      <c r="X27" s="4">
        <f>+[1]Basis!AS$52*X$58</f>
        <v>14.747547962613549</v>
      </c>
      <c r="Z27" s="4">
        <f>+[1]Basis!AU$52*Z$58</f>
        <v>15.116236661678885</v>
      </c>
      <c r="AA27" s="4">
        <f>+[1]Basis!AW$52*AA$58</f>
        <v>15.494142578220856</v>
      </c>
      <c r="AB27" s="4">
        <f>+[1]Basis!AY$52*AB$58</f>
        <v>15.881496142676376</v>
      </c>
      <c r="AC27" s="4">
        <f>+[1]Basis!BA$52*AC$58</f>
        <v>16.278533546243285</v>
      </c>
      <c r="AD27" s="4">
        <f>+[1]Basis!BC$52*AD$58</f>
        <v>16.685496884899365</v>
      </c>
      <c r="AE27" s="4">
        <f>+[1]Basis!BE$52*AE$58</f>
        <v>17.102634307021848</v>
      </c>
      <c r="AF27" s="4">
        <f>+[1]Basis!BG$52*AF$58</f>
        <v>17.530200164697391</v>
      </c>
      <c r="AG27" s="4">
        <f>+[1]Basis!BI$52*AG$58</f>
        <v>17.968455168814824</v>
      </c>
      <c r="AH27" s="4">
        <f>+[1]Basis!BK$52*AH$58</f>
        <v>18.417666548035193</v>
      </c>
      <c r="AI27" s="4">
        <f>+[1]Basis!BM$52*AI$58</f>
        <v>18.878108211736073</v>
      </c>
      <c r="AK27" s="22">
        <f t="shared" si="10"/>
        <v>405.00243668118043</v>
      </c>
      <c r="AM27" s="4">
        <f>+[1]Basis!BO$52*AM$58</f>
        <v>19.350060917029474</v>
      </c>
      <c r="AN27" s="4">
        <f>+[1]Basis!BQ$52*AN$58</f>
        <v>19.833812439955206</v>
      </c>
      <c r="AO27" s="4">
        <f>+[1]Basis!BS$52*AO$58</f>
        <v>20.329657750954084</v>
      </c>
      <c r="AP27" s="4">
        <f>+[1]Basis!BU$52*AP$58</f>
        <v>20.837899194727932</v>
      </c>
      <c r="AQ27" s="4">
        <f>+[1]Basis!BW$52*AQ$58</f>
        <v>21.35884667459613</v>
      </c>
      <c r="AR27" s="4">
        <f>+[1]Basis!BY$52*AR$58</f>
        <v>21.892817841461031</v>
      </c>
      <c r="AS27" s="4">
        <f>+[1]Basis!CA$52*AS$58</f>
        <v>22.440138287497554</v>
      </c>
      <c r="AT27" s="4">
        <f>+[1]Basis!CC$52*AT$58</f>
        <v>23.001141744684993</v>
      </c>
      <c r="AU27" s="4">
        <f>+[1]Basis!CE$52*AU$58</f>
        <v>23.576170288302119</v>
      </c>
      <c r="AV27" s="4">
        <f>+[1]Basis!CG$52*AV$58</f>
        <v>24.165574545509671</v>
      </c>
      <c r="AX27" s="22">
        <f t="shared" si="11"/>
        <v>621.78855636589856</v>
      </c>
      <c r="AZ27" s="4">
        <f>+[1]Basis!CI$52*AZ$58</f>
        <v>24.769713909147406</v>
      </c>
      <c r="BA27" s="4">
        <f>+[1]Basis!CK$52*BA$58</f>
        <v>25.388956756876091</v>
      </c>
      <c r="BB27" s="4">
        <f>+[1]Basis!CM$52*BB$58</f>
        <v>26.023680675797991</v>
      </c>
      <c r="BC27" s="4">
        <f>+[1]Basis!CO$52*BC$58</f>
        <v>26.674272692692941</v>
      </c>
      <c r="BD27" s="4">
        <f>+[1]Basis!CQ$52*BD$58</f>
        <v>27.341129510010262</v>
      </c>
      <c r="BE27" s="4">
        <f>+[1]Basis!CS$52*BE$58</f>
        <v>28.024657747760518</v>
      </c>
      <c r="BF27" s="4">
        <f>+[1]Basis!CU$52*BF$58</f>
        <v>28.725274191454531</v>
      </c>
      <c r="BG27" s="4">
        <f>+[1]Basis!CW$52*BG$58</f>
        <v>29.443406046240892</v>
      </c>
      <c r="BH27" s="4">
        <f>+[1]Basis!CY$52*BH$58</f>
        <v>30.179491197396914</v>
      </c>
      <c r="BI27" s="4">
        <f>+[1]Basis!DA$52*BI$58</f>
        <v>30.933978477331834</v>
      </c>
      <c r="BK27" s="22">
        <f t="shared" si="12"/>
        <v>899.29311757060793</v>
      </c>
    </row>
    <row r="28" spans="1:67" hidden="1" x14ac:dyDescent="0.3">
      <c r="A28" s="1" t="s">
        <v>12</v>
      </c>
      <c r="B28" s="4"/>
      <c r="C28" s="5"/>
      <c r="D28" s="41">
        <f>+[1]Basis!G$57</f>
        <v>10.600000000000001</v>
      </c>
      <c r="E28" s="41">
        <f>+[1]Basis!I$57</f>
        <v>21.200000000000003</v>
      </c>
      <c r="F28" s="41">
        <f>+[1]Basis!K$57</f>
        <v>31.800000000000004</v>
      </c>
      <c r="G28" s="41">
        <f>+[1]Basis!M$57</f>
        <v>42.400000000000006</v>
      </c>
      <c r="H28" s="41">
        <f>+[1]Basis!O$57</f>
        <v>53.000000000000007</v>
      </c>
      <c r="I28" s="41">
        <f>+[1]Basis!Q$57</f>
        <v>70.525000000000006</v>
      </c>
      <c r="J28" s="41">
        <f>+[1]Basis!S$57</f>
        <v>88.050000000000011</v>
      </c>
      <c r="K28" s="41">
        <f>+[1]Basis!U$57</f>
        <v>105.57500000000002</v>
      </c>
      <c r="L28" s="41">
        <f>+[1]Basis!W$57</f>
        <v>123.10000000000002</v>
      </c>
      <c r="M28" s="41">
        <f>+[1]Basis!Y$57</f>
        <v>140.62500000000003</v>
      </c>
      <c r="O28" s="41">
        <f>+[1]Basis!AA$57</f>
        <v>158.15000000000003</v>
      </c>
      <c r="P28" s="41">
        <f>+[1]Basis!AC$57</f>
        <v>175.67500000000004</v>
      </c>
      <c r="Q28" s="41">
        <f>+[1]Basis!AE$57</f>
        <v>193.20000000000005</v>
      </c>
      <c r="R28" s="41">
        <f>+[1]Basis!AG$57</f>
        <v>210.72500000000005</v>
      </c>
      <c r="S28" s="41">
        <f>+[1]Basis!AI$57</f>
        <v>228.25000000000006</v>
      </c>
      <c r="T28" s="41">
        <f>+[1]Basis!AK$57</f>
        <v>245.77500000000006</v>
      </c>
      <c r="U28" s="41">
        <f>+[1]Basis!AM$57</f>
        <v>263.30000000000007</v>
      </c>
      <c r="V28" s="41">
        <f>+[1]Basis!AO$57</f>
        <v>280.82500000000005</v>
      </c>
      <c r="W28" s="41">
        <f>+[1]Basis!AQ$57</f>
        <v>298.35000000000002</v>
      </c>
      <c r="X28" s="41">
        <f>+[1]Basis!AS$57</f>
        <v>315.875</v>
      </c>
      <c r="Z28" s="41">
        <f>+[1]Basis!AU$57</f>
        <v>333.4</v>
      </c>
      <c r="AA28" s="41">
        <f>+[1]Basis!AW$57</f>
        <v>350.92499999999995</v>
      </c>
      <c r="AB28" s="41">
        <f>+[1]Basis!AY57</f>
        <v>368.44999999999993</v>
      </c>
      <c r="AC28" s="41">
        <f>+[1]Basis!BA$57</f>
        <v>385.97499999999991</v>
      </c>
      <c r="AD28" s="41">
        <f>+[1]Basis!BC$57</f>
        <v>403.49999999999989</v>
      </c>
      <c r="AE28" s="41">
        <f>+[1]Basis!BE$57</f>
        <v>421.02499999999986</v>
      </c>
      <c r="AF28" s="41">
        <f>+[1]Basis!BG$57</f>
        <v>438.54999999999984</v>
      </c>
      <c r="AG28" s="41">
        <f>+[1]Basis!BI$57</f>
        <v>456.07499999999982</v>
      </c>
      <c r="AH28" s="41">
        <f>+[1]Basis!BK$57</f>
        <v>473.5999999999998</v>
      </c>
      <c r="AI28" s="41">
        <f>+[1]Basis!BM$57</f>
        <v>491.12499999999977</v>
      </c>
      <c r="AK28" s="43">
        <f t="shared" si="10"/>
        <v>7179.6249999999991</v>
      </c>
      <c r="AM28" s="41">
        <f>+[1]Basis!BO$57</f>
        <v>508.64999999999975</v>
      </c>
      <c r="AN28" s="41">
        <f>+[1]Basis!BQ$57</f>
        <v>526.17499999999973</v>
      </c>
      <c r="AO28" s="41">
        <f>+[1]Basis!BS57</f>
        <v>543.6999999999997</v>
      </c>
      <c r="AP28" s="41">
        <f>+[1]Basis!BU57</f>
        <v>561.22499999999968</v>
      </c>
      <c r="AQ28" s="41">
        <f>+[1]Basis!BW57</f>
        <v>578.74999999999966</v>
      </c>
      <c r="AR28" s="41">
        <f>+[1]Basis!BY57</f>
        <v>596.27499999999964</v>
      </c>
      <c r="AS28" s="41">
        <f>+[1]Basis!CA57</f>
        <v>613.79999999999961</v>
      </c>
      <c r="AT28" s="41">
        <f>+[1]Basis!CC57</f>
        <v>631.32499999999959</v>
      </c>
      <c r="AU28" s="41">
        <f>+[1]Basis!CE57</f>
        <v>648.84999999999957</v>
      </c>
      <c r="AV28" s="41">
        <f>+[1]Basis!CG57</f>
        <v>666.37499999999955</v>
      </c>
      <c r="AX28" s="43">
        <f t="shared" si="11"/>
        <v>13054.749999999996</v>
      </c>
      <c r="AZ28" s="44">
        <f>+[1]Basis!CI$57</f>
        <v>683.89999999999952</v>
      </c>
      <c r="BA28" s="44">
        <f>+[1]Basis!CK$57</f>
        <v>701.4249999999995</v>
      </c>
      <c r="BB28" s="44">
        <f>+[1]Basis!CM57</f>
        <v>718.94999999999948</v>
      </c>
      <c r="BC28" s="44">
        <f>+[1]Basis!CO57</f>
        <v>736.47499999999945</v>
      </c>
      <c r="BD28" s="44">
        <f>+[1]Basis!CQ57</f>
        <v>753.99999999999943</v>
      </c>
      <c r="BE28" s="44">
        <f>+[1]Basis!CS57</f>
        <v>771.52499999999941</v>
      </c>
      <c r="BF28" s="44">
        <f>+[1]Basis!CU57</f>
        <v>789.04999999999939</v>
      </c>
      <c r="BG28" s="44">
        <f>+[1]Basis!CW57</f>
        <v>806.57499999999936</v>
      </c>
      <c r="BH28" s="44">
        <f>+[1]Basis!CY57</f>
        <v>824.09999999999934</v>
      </c>
      <c r="BI28" s="44">
        <f>+[1]Basis!DA57</f>
        <v>841.62499999999932</v>
      </c>
      <c r="BJ28" s="45"/>
      <c r="BK28" s="43">
        <f t="shared" si="12"/>
        <v>20682.374999999993</v>
      </c>
    </row>
    <row r="29" spans="1:67" x14ac:dyDescent="0.3">
      <c r="A29" s="1" t="s">
        <v>46</v>
      </c>
      <c r="B29" s="3">
        <f>SUM(B21:B28)</f>
        <v>1015</v>
      </c>
      <c r="C29" s="5"/>
      <c r="D29" s="3">
        <f t="shared" ref="D29:M29" si="13">SUM(D21:D27)</f>
        <v>444.17999999999995</v>
      </c>
      <c r="E29" s="3">
        <f t="shared" si="13"/>
        <v>455.65014999999994</v>
      </c>
      <c r="F29" s="3">
        <f t="shared" si="13"/>
        <v>467.41802325000003</v>
      </c>
      <c r="G29" s="3">
        <f t="shared" si="13"/>
        <v>479.49139191624988</v>
      </c>
      <c r="H29" s="3">
        <f t="shared" si="13"/>
        <v>491.87823234170611</v>
      </c>
      <c r="I29" s="3">
        <f t="shared" si="13"/>
        <v>835.33921658515828</v>
      </c>
      <c r="J29" s="3">
        <f t="shared" si="13"/>
        <v>858.30034799574764</v>
      </c>
      <c r="K29" s="3">
        <f t="shared" si="13"/>
        <v>881.89783722148059</v>
      </c>
      <c r="L29" s="3">
        <f t="shared" si="13"/>
        <v>906.14946309363222</v>
      </c>
      <c r="M29" s="3">
        <f t="shared" si="13"/>
        <v>931.07350501083567</v>
      </c>
      <c r="O29" s="3">
        <f t="shared" ref="O29:X29" si="14">SUM(O21:O27)</f>
        <v>956.68875713616524</v>
      </c>
      <c r="P29" s="3">
        <f t="shared" si="14"/>
        <v>983.01454299962995</v>
      </c>
      <c r="Q29" s="3">
        <f t="shared" si="14"/>
        <v>1010.0707305177332</v>
      </c>
      <c r="R29" s="3">
        <f t="shared" si="14"/>
        <v>1037.8777474420822</v>
      </c>
      <c r="S29" s="3">
        <f t="shared" si="14"/>
        <v>1066.456597249382</v>
      </c>
      <c r="T29" s="3">
        <f t="shared" si="14"/>
        <v>1095.8288754855018</v>
      </c>
      <c r="U29" s="3">
        <f t="shared" si="14"/>
        <v>1126.0167865766712</v>
      </c>
      <c r="V29" s="3">
        <f t="shared" si="14"/>
        <v>1157.0431611212407</v>
      </c>
      <c r="W29" s="3">
        <f t="shared" si="14"/>
        <v>1188.9314736758295</v>
      </c>
      <c r="X29" s="3">
        <f t="shared" si="14"/>
        <v>1221.7058610500792</v>
      </c>
      <c r="Z29" s="3">
        <f t="shared" ref="Z29:AI29" si="15">SUM(Z21:Z27)</f>
        <v>1255.3911411246559</v>
      </c>
      <c r="AA29" s="3">
        <f t="shared" si="15"/>
        <v>1290.0128322075468</v>
      </c>
      <c r="AB29" s="3">
        <f t="shared" si="15"/>
        <v>1325.5971729441528</v>
      </c>
      <c r="AC29" s="3">
        <f t="shared" si="15"/>
        <v>1362.1711427971177</v>
      </c>
      <c r="AD29" s="3">
        <f t="shared" si="15"/>
        <v>1399.762483112286</v>
      </c>
      <c r="AE29" s="3">
        <f t="shared" si="15"/>
        <v>1438.3997187876921</v>
      </c>
      <c r="AF29" s="3">
        <f t="shared" si="15"/>
        <v>1478.1121805629105</v>
      </c>
      <c r="AG29" s="3">
        <f t="shared" si="15"/>
        <v>1518.930027946675</v>
      </c>
      <c r="AH29" s="3">
        <f t="shared" si="15"/>
        <v>1560.8842728011246</v>
      </c>
      <c r="AI29" s="3">
        <f t="shared" si="15"/>
        <v>1604.0068036016094</v>
      </c>
      <c r="AK29" s="21">
        <f>SUM(AK21:AK27)</f>
        <v>31828.280476554897</v>
      </c>
      <c r="AM29" s="3">
        <f t="shared" ref="AM29:AV29" si="16">SUM(AM21:AM27)</f>
        <v>1648.3304103915191</v>
      </c>
      <c r="AN29" s="3">
        <f t="shared" si="16"/>
        <v>1693.8888104521734</v>
      </c>
      <c r="AO29" s="3">
        <f t="shared" si="16"/>
        <v>1740.7166747083693</v>
      </c>
      <c r="AP29" s="3">
        <f t="shared" si="16"/>
        <v>1788.8496548908174</v>
      </c>
      <c r="AQ29" s="3">
        <f t="shared" si="16"/>
        <v>1838.3244114772688</v>
      </c>
      <c r="AR29" s="3">
        <f t="shared" si="16"/>
        <v>1889.1786424348072</v>
      </c>
      <c r="AS29" s="3">
        <f t="shared" si="16"/>
        <v>1941.4511127864021</v>
      </c>
      <c r="AT29" s="3">
        <f t="shared" si="16"/>
        <v>1995.1816850255079</v>
      </c>
      <c r="AU29" s="3">
        <f t="shared" si="16"/>
        <v>2050.4113504031752</v>
      </c>
      <c r="AV29" s="3">
        <f t="shared" si="16"/>
        <v>2107.1822611128455</v>
      </c>
      <c r="AX29" s="21">
        <f>SUM(AX21:AX27)</f>
        <v>50521.79549023779</v>
      </c>
      <c r="AZ29" s="3">
        <f t="shared" ref="AZ29:BI29" si="17">SUM(AZ21:AZ27)</f>
        <v>2165.537763398745</v>
      </c>
      <c r="BA29" s="3">
        <f t="shared" si="17"/>
        <v>2225.522431614535</v>
      </c>
      <c r="BB29" s="3">
        <f t="shared" si="17"/>
        <v>2287.1821032596431</v>
      </c>
      <c r="BC29" s="3">
        <f t="shared" si="17"/>
        <v>2350.5639150215225</v>
      </c>
      <c r="BD29" s="3">
        <f t="shared" si="17"/>
        <v>2415.7163398528596</v>
      </c>
      <c r="BE29" s="3">
        <f t="shared" si="17"/>
        <v>2482.6892251136542</v>
      </c>
      <c r="BF29" s="3">
        <f t="shared" si="17"/>
        <v>2551.5338318089034</v>
      </c>
      <c r="BG29" s="3">
        <f t="shared" si="17"/>
        <v>2622.3028749535556</v>
      </c>
      <c r="BH29" s="3">
        <f t="shared" si="17"/>
        <v>2695.0505650973078</v>
      </c>
      <c r="BI29" s="3">
        <f t="shared" si="17"/>
        <v>2769.8326510427496</v>
      </c>
      <c r="BK29" s="21">
        <f>SUM(BK21:BK27)</f>
        <v>75087.727191401267</v>
      </c>
    </row>
    <row r="30" spans="1:67" x14ac:dyDescent="0.3">
      <c r="A30" s="1"/>
      <c r="B30" s="3"/>
      <c r="C30" s="5"/>
      <c r="D30" s="3"/>
      <c r="E30" s="3"/>
      <c r="F30" s="3"/>
      <c r="G30" s="3"/>
      <c r="H30" s="3"/>
      <c r="I30" s="3"/>
      <c r="J30" s="3"/>
      <c r="K30" s="3"/>
      <c r="L30" s="3"/>
      <c r="M30" s="3"/>
      <c r="O30" s="3"/>
      <c r="P30" s="3"/>
      <c r="Q30" s="3"/>
      <c r="R30" s="3"/>
      <c r="S30" s="3"/>
      <c r="T30" s="3"/>
      <c r="U30" s="3"/>
      <c r="V30" s="3"/>
      <c r="W30" s="3"/>
      <c r="X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K30" s="21"/>
      <c r="AM30" s="3"/>
      <c r="AN30" s="3"/>
      <c r="AO30" s="3"/>
      <c r="AP30" s="3"/>
      <c r="AQ30" s="3"/>
      <c r="AR30" s="3"/>
      <c r="AS30" s="3"/>
      <c r="AT30" s="3"/>
      <c r="AU30" s="3"/>
      <c r="AV30" s="3"/>
      <c r="AX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K30" s="3"/>
    </row>
    <row r="31" spans="1:67" x14ac:dyDescent="0.3">
      <c r="A31" s="2" t="s">
        <v>51</v>
      </c>
      <c r="B31" s="4">
        <f>+[1]Basis!$D$38</f>
        <v>124</v>
      </c>
      <c r="C31" s="5"/>
      <c r="D31" s="4">
        <f>+[1]Basis!G$38</f>
        <v>1201.7384999999999</v>
      </c>
      <c r="E31" s="4">
        <f>+[1]Basis!I$38</f>
        <v>1201.7384999999999</v>
      </c>
      <c r="F31" s="4">
        <f>+[1]Basis!K$38</f>
        <v>1201.7384999999999</v>
      </c>
      <c r="G31" s="4">
        <f>+[1]Basis!M$38</f>
        <v>1201.7384999999999</v>
      </c>
      <c r="H31" s="4">
        <f>+[1]Basis!O$38</f>
        <v>1201.7384999999999</v>
      </c>
      <c r="I31" s="4">
        <f>+[1]Basis!Q$38</f>
        <v>1201.7384999999999</v>
      </c>
      <c r="J31" s="4">
        <f>+[1]Basis!S$38</f>
        <v>1201.7384999999999</v>
      </c>
      <c r="K31" s="4">
        <f>+[1]Basis!U$38</f>
        <v>1201.7384999999999</v>
      </c>
      <c r="L31" s="4">
        <f>+[1]Basis!W$38</f>
        <v>1201.7384999999999</v>
      </c>
      <c r="M31" s="4">
        <f>+[1]Basis!Y$38</f>
        <v>1201.7384999999999</v>
      </c>
      <c r="O31" s="4">
        <f>+[1]Basis!$AA$38</f>
        <v>1201.7384999999999</v>
      </c>
      <c r="P31" s="4">
        <f>+[1]Basis!$AC$38</f>
        <v>1201.7384999999999</v>
      </c>
      <c r="Q31" s="4">
        <f>+[1]Basis!$AE$38</f>
        <v>1201.7384999999999</v>
      </c>
      <c r="R31" s="4">
        <f>+[1]Basis!$AG$38</f>
        <v>1201.7384999999999</v>
      </c>
      <c r="S31" s="4">
        <f>+[1]Basis!$AI$38</f>
        <v>1201.7384999999999</v>
      </c>
      <c r="T31" s="4">
        <f>+[1]Basis!$AK$38</f>
        <v>1201.7384999999999</v>
      </c>
      <c r="U31" s="4">
        <f>+[1]Basis!$AM$38</f>
        <v>1201.7384999999999</v>
      </c>
      <c r="V31" s="4">
        <f>+[1]Basis!$AO$38</f>
        <v>1201.7384999999999</v>
      </c>
      <c r="W31" s="4">
        <f>+[1]Basis!$AQ$38</f>
        <v>1189.2384999999999</v>
      </c>
      <c r="X31" s="4">
        <f>+[1]Basis!$AS$38</f>
        <v>1176.7384999999999</v>
      </c>
      <c r="Z31" s="4">
        <f>+[1]Basis!$AU$38</f>
        <v>1164.2384999999999</v>
      </c>
      <c r="AA31" s="4">
        <f>+[1]Basis!$AW$38</f>
        <v>1139.2384999999997</v>
      </c>
      <c r="AB31" s="4">
        <f>+[1]Basis!$AY$38</f>
        <v>1101.7384999999997</v>
      </c>
      <c r="AC31" s="4">
        <f>+[1]Basis!$BA$38</f>
        <v>1064.2384999999997</v>
      </c>
      <c r="AD31" s="4">
        <f>+[1]Basis!$BC$38</f>
        <v>1039.2385000000002</v>
      </c>
      <c r="AE31" s="4">
        <f>+[1]Basis!BE$38</f>
        <v>1001.7385000000002</v>
      </c>
      <c r="AF31" s="4">
        <f>+[1]Basis!BG$38</f>
        <v>964.23850000000016</v>
      </c>
      <c r="AG31" s="4">
        <f>+[1]Basis!BI$38</f>
        <v>926.73850000000016</v>
      </c>
      <c r="AH31" s="4">
        <f>+[1]Basis!BK$38</f>
        <v>889.23850000000016</v>
      </c>
      <c r="AI31" s="4">
        <f>+[1]Basis!BM$38</f>
        <v>839.23849999999993</v>
      </c>
      <c r="AK31" s="22">
        <f>SUM(D31:AI31)</f>
        <v>34127.154999999992</v>
      </c>
      <c r="AM31" s="4">
        <f>+[1]Basis!BO$38</f>
        <v>789.23850000000004</v>
      </c>
      <c r="AN31" s="4">
        <f>+[1]Basis!BQ$38</f>
        <v>701.73850000000016</v>
      </c>
      <c r="AO31" s="4">
        <f>+[1]Basis!BS$38</f>
        <v>651.73850000000004</v>
      </c>
      <c r="AP31" s="4">
        <f>+[1]Basis!BU$38</f>
        <v>564.23850000000004</v>
      </c>
      <c r="AQ31" s="4">
        <f>+[1]Basis!BW$38</f>
        <v>476.73849999999993</v>
      </c>
      <c r="AR31" s="4">
        <f>+[1]Basis!BY$38</f>
        <v>389.23850000000004</v>
      </c>
      <c r="AS31" s="4">
        <f>+[1]Basis!CA$38</f>
        <v>301.73849999999999</v>
      </c>
      <c r="AT31" s="4">
        <f>+[1]Basis!CC$38</f>
        <v>176.73850000000002</v>
      </c>
      <c r="AU31" s="4">
        <f>+[1]Basis!CE$38</f>
        <v>51.738499999999995</v>
      </c>
      <c r="AV31" s="4">
        <f>+[1]Basis!CG$38</f>
        <v>-4.2500000000000018</v>
      </c>
      <c r="AX31" s="21">
        <f>SUM(D31:AI31)+SUM(AM31:AV31)</f>
        <v>38226.051499999994</v>
      </c>
      <c r="AZ31" s="4">
        <f>+[1]Basis!CI$38</f>
        <v>0</v>
      </c>
      <c r="BA31" s="4">
        <f>+[1]Basis!CK$38</f>
        <v>0</v>
      </c>
      <c r="BB31" s="4">
        <f>+[1]Basis!CM$38</f>
        <v>0</v>
      </c>
      <c r="BC31" s="4">
        <f>+[1]Basis!CO$38</f>
        <v>0</v>
      </c>
      <c r="BD31" s="4">
        <f>+[1]Basis!CQ$38</f>
        <v>0</v>
      </c>
      <c r="BE31" s="4">
        <f>+[1]Basis!CS$38</f>
        <v>0</v>
      </c>
      <c r="BF31" s="4">
        <f>+[1]Basis!CU$38</f>
        <v>0</v>
      </c>
      <c r="BG31" s="4">
        <f>+[1]Basis!CW$38</f>
        <v>0</v>
      </c>
      <c r="BH31" s="4">
        <f>+[1]Basis!CY$38</f>
        <v>0</v>
      </c>
      <c r="BI31" s="4">
        <f>+[1]Basis!DA$38</f>
        <v>0</v>
      </c>
      <c r="BK31" s="22">
        <f>SUM(D31:AI31)+SUM(AM31:AV31)+SUM(AZ31:BI31)</f>
        <v>38226.051499999994</v>
      </c>
    </row>
    <row r="32" spans="1:67" x14ac:dyDescent="0.3">
      <c r="A32" s="1"/>
      <c r="B32" s="3"/>
      <c r="C32" s="5"/>
      <c r="D32" s="3"/>
      <c r="E32" s="3"/>
      <c r="F32" s="3"/>
      <c r="G32" s="3"/>
      <c r="H32" s="3"/>
      <c r="I32" s="3"/>
      <c r="J32" s="3"/>
      <c r="K32" s="3"/>
      <c r="L32" s="3"/>
      <c r="M32" s="3"/>
      <c r="O32" s="3"/>
      <c r="P32" s="3"/>
      <c r="Q32" s="3"/>
      <c r="R32" s="3"/>
      <c r="S32" s="3"/>
      <c r="T32" s="3"/>
      <c r="U32" s="3"/>
      <c r="V32" s="3"/>
      <c r="W32" s="3"/>
      <c r="X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K32" s="21"/>
      <c r="AM32" s="3"/>
      <c r="AN32" s="3"/>
      <c r="AO32" s="3"/>
      <c r="AP32" s="3"/>
      <c r="AQ32" s="3"/>
      <c r="AR32" s="3"/>
      <c r="AS32" s="3"/>
      <c r="AT32" s="3"/>
      <c r="AU32" s="3"/>
      <c r="AV32" s="3"/>
      <c r="AX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K32" s="3"/>
    </row>
    <row r="33" spans="1:63" x14ac:dyDescent="0.3">
      <c r="A33" s="1" t="s">
        <v>7</v>
      </c>
      <c r="B33" s="3">
        <f>+B19-B29-B31</f>
        <v>518.5</v>
      </c>
      <c r="C33" s="5"/>
      <c r="D33" s="3">
        <f t="shared" ref="D33:M33" si="18">+D19-D29-D31</f>
        <v>53.018999999999778</v>
      </c>
      <c r="E33" s="3">
        <f t="shared" si="18"/>
        <v>84.02228749999972</v>
      </c>
      <c r="F33" s="3">
        <f t="shared" si="18"/>
        <v>115.78968768749951</v>
      </c>
      <c r="G33" s="3">
        <f t="shared" si="18"/>
        <v>148.33997429468718</v>
      </c>
      <c r="H33" s="3">
        <f t="shared" si="18"/>
        <v>181.69238052450419</v>
      </c>
      <c r="I33" s="3">
        <f t="shared" si="18"/>
        <v>-114.88587589729286</v>
      </c>
      <c r="J33" s="3">
        <f t="shared" si="18"/>
        <v>-89.792211290685827</v>
      </c>
      <c r="K33" s="3">
        <f t="shared" si="18"/>
        <v>-64.133534598792494</v>
      </c>
      <c r="L33" s="3">
        <f t="shared" si="18"/>
        <v>-37.897590405377287</v>
      </c>
      <c r="M33" s="3">
        <f t="shared" si="18"/>
        <v>-11.071873005374528</v>
      </c>
      <c r="O33" s="3">
        <f t="shared" ref="O33:X33" si="19">+O19-O29-O31</f>
        <v>16.356378169431991</v>
      </c>
      <c r="P33" s="3">
        <f t="shared" si="19"/>
        <v>44.400183188607116</v>
      </c>
      <c r="Q33" s="3">
        <f t="shared" si="19"/>
        <v>73.072826325209689</v>
      </c>
      <c r="R33" s="3">
        <f t="shared" si="19"/>
        <v>102.38786082193428</v>
      </c>
      <c r="S33" s="3">
        <f t="shared" si="19"/>
        <v>132.35911372123473</v>
      </c>
      <c r="T33" s="3">
        <f t="shared" si="19"/>
        <v>163.00069075937995</v>
      </c>
      <c r="U33" s="3">
        <f t="shared" si="19"/>
        <v>194.32698132433234</v>
      </c>
      <c r="V33" s="3">
        <f t="shared" si="19"/>
        <v>226.35266347728748</v>
      </c>
      <c r="W33" s="3">
        <f t="shared" si="19"/>
        <v>271.59270903766151</v>
      </c>
      <c r="X33" s="3">
        <f t="shared" si="19"/>
        <v>317.5623887312488</v>
      </c>
      <c r="Z33" s="3">
        <f t="shared" ref="Z33:AI33" si="20">+Z19-Z29-Z31</f>
        <v>364.27727740120508</v>
      </c>
      <c r="AA33" s="3">
        <f t="shared" si="20"/>
        <v>424.25325928146049</v>
      </c>
      <c r="AB33" s="3">
        <f t="shared" si="20"/>
        <v>497.50653333207947</v>
      </c>
      <c r="AC33" s="3">
        <f t="shared" si="20"/>
        <v>571.55361863602025</v>
      </c>
      <c r="AD33" s="3">
        <f t="shared" si="20"/>
        <v>633.91135985667961</v>
      </c>
      <c r="AE33" s="3">
        <f t="shared" si="20"/>
        <v>709.59693275549739</v>
      </c>
      <c r="AF33" s="3">
        <f t="shared" si="20"/>
        <v>786.12784976885837</v>
      </c>
      <c r="AG33" s="3">
        <f t="shared" si="20"/>
        <v>863.52196564338783</v>
      </c>
      <c r="AH33" s="3">
        <f t="shared" si="20"/>
        <v>941.79748312868946</v>
      </c>
      <c r="AI33" s="3">
        <f t="shared" si="20"/>
        <v>1033.4729587264499</v>
      </c>
      <c r="AK33" s="21">
        <f>SUM(D33:AI33)</f>
        <v>8632.5132788958217</v>
      </c>
      <c r="AM33" s="3">
        <f>+AM19-AM29-AM31</f>
        <v>1126.0673084947412</v>
      </c>
      <c r="AN33" s="3">
        <f t="shared" ref="AN33:AV33" si="21">+AN19-AN29-AN31</f>
        <v>1257.0998139062428</v>
      </c>
      <c r="AO33" s="3">
        <f t="shared" si="21"/>
        <v>1351.5901277590074</v>
      </c>
      <c r="AP33" s="3">
        <f>+AP19-AP29-AP31</f>
        <v>1484.5582801382434</v>
      </c>
      <c r="AQ33" s="3">
        <f>+AQ19-AQ29-AQ31</f>
        <v>1618.5246844275184</v>
      </c>
      <c r="AR33" s="3">
        <f t="shared" si="21"/>
        <v>1753.5101433675995</v>
      </c>
      <c r="AS33" s="3">
        <f t="shared" si="21"/>
        <v>1889.5358551610643</v>
      </c>
      <c r="AT33" s="3">
        <f t="shared" si="21"/>
        <v>2064.1234196206447</v>
      </c>
      <c r="AU33" s="3">
        <f t="shared" si="21"/>
        <v>2239.7948443591313</v>
      </c>
      <c r="AV33" s="3">
        <f t="shared" si="21"/>
        <v>2347.5610510185179</v>
      </c>
      <c r="AW33" s="8"/>
      <c r="AX33" s="21">
        <f>SUM(D33:AI33)+SUM(AM33:AV33)</f>
        <v>25764.878807148532</v>
      </c>
      <c r="AZ33" s="3">
        <f t="shared" ref="AZ33:BI33" si="22">+AZ19-AZ29-AZ31</f>
        <v>2396.2178815359016</v>
      </c>
      <c r="BA33" s="3">
        <f t="shared" si="22"/>
        <v>2450.2771044434776</v>
      </c>
      <c r="BB33" s="3">
        <f t="shared" si="22"/>
        <v>2505.5124211998195</v>
      </c>
      <c r="BC33" s="3">
        <f t="shared" si="22"/>
        <v>2561.9479725494261</v>
      </c>
      <c r="BD33" s="3">
        <f t="shared" si="22"/>
        <v>2619.6083449073626</v>
      </c>
      <c r="BE33" s="3">
        <f t="shared" si="22"/>
        <v>2678.518576765573</v>
      </c>
      <c r="BF33" s="3">
        <f t="shared" si="22"/>
        <v>2738.704165117304</v>
      </c>
      <c r="BG33" s="3">
        <f t="shared" si="22"/>
        <v>2800.1910718958065</v>
      </c>
      <c r="BH33" s="3">
        <f t="shared" si="22"/>
        <v>2863.0057304232882</v>
      </c>
      <c r="BI33" s="3">
        <f t="shared" si="22"/>
        <v>2927.175051865861</v>
      </c>
      <c r="BJ33" s="8"/>
      <c r="BK33" s="21">
        <f>SUM(D33:AI33)+SUM(AM33:AV33)+SUM(AZ33:BI33)</f>
        <v>52306.037127852353</v>
      </c>
    </row>
    <row r="34" spans="1:63" hidden="1" x14ac:dyDescent="0.3">
      <c r="A34" s="1"/>
      <c r="B34" s="3"/>
      <c r="C34" s="5"/>
      <c r="D34" s="3"/>
      <c r="E34" s="3"/>
      <c r="F34" s="3"/>
      <c r="G34" s="3"/>
      <c r="H34" s="3"/>
      <c r="I34" s="3"/>
      <c r="J34" s="3"/>
      <c r="K34" s="3"/>
      <c r="L34" s="3"/>
      <c r="M34" s="3"/>
      <c r="O34" s="3"/>
      <c r="P34" s="3"/>
      <c r="Q34" s="3"/>
      <c r="R34" s="3"/>
      <c r="S34" s="3"/>
      <c r="T34" s="3"/>
      <c r="U34" s="3"/>
      <c r="V34" s="3"/>
      <c r="W34" s="3"/>
      <c r="X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K34" s="21"/>
      <c r="AM34" s="3"/>
      <c r="AN34" s="3"/>
      <c r="AO34" s="3"/>
      <c r="AP34" s="3"/>
      <c r="AQ34" s="3"/>
      <c r="AR34" s="3"/>
      <c r="AS34" s="3"/>
      <c r="AT34" s="3"/>
      <c r="AU34" s="3"/>
      <c r="AV34" s="3"/>
      <c r="AX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K34" s="3"/>
    </row>
    <row r="35" spans="1:63" x14ac:dyDescent="0.3">
      <c r="A35" s="2" t="s">
        <v>10</v>
      </c>
      <c r="B35" s="4">
        <f>+[1]Basis!$D$63</f>
        <v>60</v>
      </c>
      <c r="C35" s="5"/>
      <c r="D35" s="4">
        <f>+[1]Basis!G$63</f>
        <v>0</v>
      </c>
      <c r="E35" s="4">
        <f>+[1]Basis!I$63</f>
        <v>0</v>
      </c>
      <c r="F35" s="4">
        <f>+[1]Basis!K$63</f>
        <v>0</v>
      </c>
      <c r="G35" s="4">
        <f>+[1]Basis!M$63</f>
        <v>0</v>
      </c>
      <c r="H35" s="4">
        <f>+[1]Basis!O$63</f>
        <v>0</v>
      </c>
      <c r="I35" s="4">
        <f>+[1]Basis!Q$63</f>
        <v>0</v>
      </c>
      <c r="J35" s="4">
        <f>+[1]Basis!S$63</f>
        <v>0</v>
      </c>
      <c r="K35" s="4">
        <f>+[1]Basis!U$63</f>
        <v>0</v>
      </c>
      <c r="L35" s="4">
        <f>+[1]Basis!W$63</f>
        <v>0</v>
      </c>
      <c r="M35" s="4">
        <f>+[1]Basis!Y$63</f>
        <v>0</v>
      </c>
      <c r="O35" s="4">
        <f>+[1]Basis!AA$63</f>
        <v>0</v>
      </c>
      <c r="P35" s="4">
        <f>+[1]Basis!AC$63</f>
        <v>0</v>
      </c>
      <c r="Q35" s="4">
        <f>+[1]Basis!AE$63</f>
        <v>0</v>
      </c>
      <c r="R35" s="4">
        <f>+[1]Basis!AG$63</f>
        <v>0</v>
      </c>
      <c r="S35" s="4">
        <f>+[1]Basis!AI$63</f>
        <v>0</v>
      </c>
      <c r="T35" s="4">
        <f>+[1]Basis!AK$63</f>
        <v>0</v>
      </c>
      <c r="U35" s="4">
        <f>+[1]Basis!AM$63</f>
        <v>0</v>
      </c>
      <c r="V35" s="4">
        <f>+[1]Basis!AO$63</f>
        <v>0</v>
      </c>
      <c r="W35" s="4">
        <f>+[1]Basis!AQ$63</f>
        <v>0</v>
      </c>
      <c r="X35" s="4">
        <f>+[1]Basis!AS$63</f>
        <v>0</v>
      </c>
      <c r="Z35" s="4">
        <f>+[1]Basis!AU$63</f>
        <v>0</v>
      </c>
      <c r="AA35" s="4">
        <f>+[1]Basis!AW$63</f>
        <v>0</v>
      </c>
      <c r="AB35" s="4">
        <f>+[1]Basis!AY$63</f>
        <v>0</v>
      </c>
      <c r="AC35" s="4">
        <f>+[1]Basis!BA$63</f>
        <v>0</v>
      </c>
      <c r="AD35" s="4">
        <f>+[1]Basis!BC$63</f>
        <v>0</v>
      </c>
      <c r="AE35" s="4">
        <f>+[1]Basis!BE$63</f>
        <v>0</v>
      </c>
      <c r="AF35" s="4">
        <f>+[1]Basis!BG$63</f>
        <v>0</v>
      </c>
      <c r="AG35" s="4">
        <f>+[1]Basis!BI$63</f>
        <v>0</v>
      </c>
      <c r="AH35" s="4">
        <f>+[1]Basis!BK$63</f>
        <v>0</v>
      </c>
      <c r="AI35" s="4">
        <f>+[1]Basis!BM$63</f>
        <v>0</v>
      </c>
      <c r="AK35" s="22">
        <f>SUM(D35:AI35)</f>
        <v>0</v>
      </c>
      <c r="AM35" s="4">
        <f>+[1]Basis!BO$63</f>
        <v>0</v>
      </c>
      <c r="AN35" s="4">
        <f>+[1]Basis!BQ$63</f>
        <v>0</v>
      </c>
      <c r="AO35" s="4">
        <f>+[1]Basis!BS$63</f>
        <v>0</v>
      </c>
      <c r="AP35" s="4">
        <f>+[1]Basis!BU$63</f>
        <v>0</v>
      </c>
      <c r="AQ35" s="4">
        <f>+[1]Basis!BW$63</f>
        <v>0</v>
      </c>
      <c r="AR35" s="4">
        <f>+[1]Basis!BY$63</f>
        <v>0</v>
      </c>
      <c r="AS35" s="4">
        <f>+[1]Basis!CA$63</f>
        <v>0</v>
      </c>
      <c r="AT35" s="4">
        <f>+[1]Basis!CC$63</f>
        <v>0</v>
      </c>
      <c r="AU35" s="4">
        <f>+[1]Basis!CE$63</f>
        <v>0</v>
      </c>
      <c r="AV35" s="4">
        <f>+[1]Basis!CG$63</f>
        <v>0</v>
      </c>
      <c r="AX35" s="21">
        <f>SUM(D35:AI35)+SUM(AM35:AV35)</f>
        <v>0</v>
      </c>
      <c r="AZ35" s="4">
        <f>+[1]Basis!CI$63</f>
        <v>0</v>
      </c>
      <c r="BA35" s="4">
        <f>+[1]Basis!CK$63</f>
        <v>0</v>
      </c>
      <c r="BB35" s="4">
        <f>+[1]Basis!CM$63</f>
        <v>0</v>
      </c>
      <c r="BC35" s="4">
        <f>+[1]Basis!CO$63</f>
        <v>0</v>
      </c>
      <c r="BD35" s="4">
        <f>+[1]Basis!CQ$63</f>
        <v>0</v>
      </c>
      <c r="BE35" s="4">
        <f>+[1]Basis!CS$63</f>
        <v>0</v>
      </c>
      <c r="BF35" s="4">
        <f>+[1]Basis!CU$63</f>
        <v>0</v>
      </c>
      <c r="BG35" s="4">
        <f>+[1]Basis!CW$63</f>
        <v>0</v>
      </c>
      <c r="BH35" s="4">
        <f>+[1]Basis!CY$63</f>
        <v>0</v>
      </c>
      <c r="BI35" s="4">
        <f>+[1]Basis!DA$63</f>
        <v>0</v>
      </c>
      <c r="BK35" s="22">
        <f>SUM(D35:AI35)+SUM(AM35:AV35)+SUM(AZ35:BI35)</f>
        <v>0</v>
      </c>
    </row>
    <row r="36" spans="1:63" hidden="1" x14ac:dyDescent="0.3">
      <c r="A36" s="1"/>
      <c r="B36" s="3"/>
      <c r="C36" s="5"/>
      <c r="D36" s="3"/>
      <c r="E36" s="3"/>
      <c r="F36" s="3"/>
      <c r="G36" s="3"/>
      <c r="H36" s="3"/>
      <c r="I36" s="3"/>
      <c r="J36" s="3"/>
      <c r="K36" s="3"/>
      <c r="L36" s="3"/>
      <c r="M36" s="3"/>
      <c r="O36" s="3"/>
      <c r="P36" s="3"/>
      <c r="Q36" s="3"/>
      <c r="R36" s="3"/>
      <c r="S36" s="3"/>
      <c r="T36" s="3"/>
      <c r="U36" s="3"/>
      <c r="V36" s="3"/>
      <c r="W36" s="3"/>
      <c r="X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K36" s="21"/>
      <c r="AM36" s="3"/>
      <c r="AN36" s="3"/>
      <c r="AO36" s="3"/>
      <c r="AP36" s="3"/>
      <c r="AQ36" s="3"/>
      <c r="AR36" s="3"/>
      <c r="AS36" s="3"/>
      <c r="AT36" s="3"/>
      <c r="AU36" s="3"/>
      <c r="AV36" s="3"/>
      <c r="AX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K36" s="3"/>
    </row>
    <row r="37" spans="1:63" x14ac:dyDescent="0.3">
      <c r="A37" s="2" t="s">
        <v>8</v>
      </c>
      <c r="B37" s="4">
        <f>+B33-B35</f>
        <v>458.5</v>
      </c>
      <c r="C37" s="5"/>
      <c r="D37" s="4">
        <f t="shared" ref="D37:M37" si="23">IF($B$12="nee",D33,IF(AND(C49&gt;0,D33&gt;0),D33-D35+IF(D33&gt;C49,C49,D35),D33-D35))</f>
        <v>53.018999999999778</v>
      </c>
      <c r="E37" s="4">
        <f t="shared" si="23"/>
        <v>84.02228749999972</v>
      </c>
      <c r="F37" s="4">
        <f t="shared" si="23"/>
        <v>115.78968768749951</v>
      </c>
      <c r="G37" s="4">
        <f t="shared" si="23"/>
        <v>148.33997429468718</v>
      </c>
      <c r="H37" s="4">
        <f t="shared" si="23"/>
        <v>181.69238052450419</v>
      </c>
      <c r="I37" s="4">
        <f t="shared" si="23"/>
        <v>-114.88587589729286</v>
      </c>
      <c r="J37" s="4">
        <f t="shared" si="23"/>
        <v>-89.792211290685827</v>
      </c>
      <c r="K37" s="4">
        <f t="shared" si="23"/>
        <v>-64.133534598792494</v>
      </c>
      <c r="L37" s="4">
        <f t="shared" si="23"/>
        <v>-37.897590405377287</v>
      </c>
      <c r="M37" s="4">
        <f t="shared" si="23"/>
        <v>-11.071873005374528</v>
      </c>
      <c r="O37" s="4">
        <f>IF(AND(M49&gt;0,O33&gt;0),O33-O35+IF(O33&gt;M49,(O33-M49)/O33*O35,O35),O33-O35)</f>
        <v>16.356378169431991</v>
      </c>
      <c r="P37" s="4">
        <f t="shared" ref="P37:X37" si="24">IF(AND(O49&gt;0,P33&gt;0),P33-P35+IF(P33&gt;O49,(P33-O49)/P33*P35,P35),P33-P35)</f>
        <v>44.400183188607116</v>
      </c>
      <c r="Q37" s="4">
        <f t="shared" si="24"/>
        <v>73.072826325209689</v>
      </c>
      <c r="R37" s="4">
        <f t="shared" si="24"/>
        <v>102.38786082193428</v>
      </c>
      <c r="S37" s="4">
        <f t="shared" si="24"/>
        <v>132.35911372123473</v>
      </c>
      <c r="T37" s="4">
        <f t="shared" si="24"/>
        <v>163.00069075937995</v>
      </c>
      <c r="U37" s="4">
        <f t="shared" si="24"/>
        <v>194.32698132433234</v>
      </c>
      <c r="V37" s="4">
        <f t="shared" si="24"/>
        <v>226.35266347728748</v>
      </c>
      <c r="W37" s="4">
        <f t="shared" si="24"/>
        <v>271.59270903766151</v>
      </c>
      <c r="X37" s="4">
        <f t="shared" si="24"/>
        <v>317.5623887312488</v>
      </c>
      <c r="Z37" s="4">
        <f>IF(AND(X49&gt;0,Z33&gt;0),Z33-Z35+IF(Z33&gt;X49,(Z33-X49)/Z33*Z35,Z35),Z33-Z35)</f>
        <v>364.27727740120508</v>
      </c>
      <c r="AA37" s="4">
        <f t="shared" ref="AA37:AI37" si="25">IF(AND(Z49&gt;0,AA33&gt;0),AA33-AA35+IF(AA33&gt;Z49,(AA33-Z49)/AA33*AA35,AA35),AA33-AA35)</f>
        <v>424.25325928146049</v>
      </c>
      <c r="AB37" s="4">
        <f t="shared" si="25"/>
        <v>497.50653333207947</v>
      </c>
      <c r="AC37" s="4">
        <f t="shared" si="25"/>
        <v>571.55361863602025</v>
      </c>
      <c r="AD37" s="4">
        <f t="shared" si="25"/>
        <v>633.91135985667961</v>
      </c>
      <c r="AE37" s="4">
        <f t="shared" si="25"/>
        <v>709.59693275549739</v>
      </c>
      <c r="AF37" s="4">
        <f t="shared" si="25"/>
        <v>786.12784976885837</v>
      </c>
      <c r="AG37" s="4">
        <f t="shared" si="25"/>
        <v>863.52196564338783</v>
      </c>
      <c r="AH37" s="4">
        <f t="shared" si="25"/>
        <v>941.79748312868946</v>
      </c>
      <c r="AI37" s="4">
        <f t="shared" si="25"/>
        <v>1033.4729587264499</v>
      </c>
      <c r="AK37" s="22">
        <f>SUM(D37:AI37)</f>
        <v>8632.5132788958217</v>
      </c>
      <c r="AM37" s="4">
        <f>IF(AND(AI49&gt;0,AM33&gt;0),AM33-AM35+IF(AM33&gt;AI49,(AM33-AK49)/AM33*AM35,AM35),AM33-AM35)</f>
        <v>1126.0673084947412</v>
      </c>
      <c r="AN37" s="4">
        <f t="shared" ref="AN37:AV37" si="26">IF(AND(AM49&gt;0,AN33&gt;0),AN33-AN35+IF(AN33&gt;AM49,(AN33-AM49)/AN33*AN35,AN35),AN33-AN35)</f>
        <v>1257.0998139062428</v>
      </c>
      <c r="AO37" s="4">
        <f t="shared" si="26"/>
        <v>1351.5901277590074</v>
      </c>
      <c r="AP37" s="4">
        <f t="shared" si="26"/>
        <v>1484.5582801382434</v>
      </c>
      <c r="AQ37" s="4">
        <f t="shared" si="26"/>
        <v>1618.5246844275184</v>
      </c>
      <c r="AR37" s="4">
        <f t="shared" si="26"/>
        <v>1753.5101433675995</v>
      </c>
      <c r="AS37" s="4">
        <f t="shared" si="26"/>
        <v>1889.5358551610643</v>
      </c>
      <c r="AT37" s="4">
        <f t="shared" si="26"/>
        <v>2064.1234196206447</v>
      </c>
      <c r="AU37" s="4">
        <f t="shared" si="26"/>
        <v>2239.7948443591313</v>
      </c>
      <c r="AV37" s="4">
        <f t="shared" si="26"/>
        <v>2347.5610510185179</v>
      </c>
      <c r="AX37" s="21">
        <f>SUM(D37:AI37)+SUM(AM37:AV37)</f>
        <v>25764.878807148532</v>
      </c>
      <c r="AZ37" s="4">
        <f>IF(AND(AV49&gt;0,AZ33&gt;0),AZ33-AZ35+IF(AZ33&gt;AV49,(AZ33-AX49)/AZ33*AZ35,AZ35),AZ33-AZ35)</f>
        <v>2396.2178815359016</v>
      </c>
      <c r="BA37" s="4">
        <f t="shared" ref="BA37:BI37" si="27">IF(AND(AZ49&gt;0,BA33&gt;0),BA33-BA35+IF(BA33&gt;AZ49,(BA33-AZ49)/BA33*BA35,BA35),BA33-BA35)</f>
        <v>2450.2771044434776</v>
      </c>
      <c r="BB37" s="4">
        <f t="shared" si="27"/>
        <v>2505.5124211998195</v>
      </c>
      <c r="BC37" s="4">
        <f t="shared" si="27"/>
        <v>2561.9479725494261</v>
      </c>
      <c r="BD37" s="4">
        <f t="shared" si="27"/>
        <v>2619.6083449073626</v>
      </c>
      <c r="BE37" s="4">
        <f t="shared" si="27"/>
        <v>2678.518576765573</v>
      </c>
      <c r="BF37" s="4">
        <f t="shared" si="27"/>
        <v>2738.704165117304</v>
      </c>
      <c r="BG37" s="4">
        <f t="shared" si="27"/>
        <v>2800.1910718958065</v>
      </c>
      <c r="BH37" s="4">
        <f t="shared" si="27"/>
        <v>2863.0057304232882</v>
      </c>
      <c r="BI37" s="4">
        <f t="shared" si="27"/>
        <v>2927.175051865861</v>
      </c>
      <c r="BK37" s="22">
        <f>SUM(D37:AI37)+SUM(AM37:AV37)+SUM(AZ37:BI37)</f>
        <v>52306.037127852353</v>
      </c>
    </row>
    <row r="38" spans="1:63" x14ac:dyDescent="0.3">
      <c r="A38" s="1"/>
      <c r="B38" s="3"/>
      <c r="C38" s="5"/>
      <c r="D38" s="3"/>
      <c r="E38" s="3"/>
      <c r="F38" s="3"/>
      <c r="G38" s="3"/>
      <c r="H38" s="3"/>
      <c r="I38" s="3"/>
      <c r="J38" s="3"/>
      <c r="K38" s="3"/>
      <c r="L38" s="3"/>
      <c r="M38" s="3"/>
      <c r="O38" s="3"/>
      <c r="P38" s="3"/>
      <c r="Q38" s="3"/>
      <c r="R38" s="3"/>
      <c r="S38" s="3"/>
      <c r="T38" s="3"/>
      <c r="U38" s="3"/>
      <c r="V38" s="3"/>
      <c r="W38" s="3"/>
      <c r="X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K38" s="21"/>
      <c r="AM38" s="3"/>
      <c r="AN38" s="3"/>
      <c r="AO38" s="3"/>
      <c r="AP38" s="3"/>
      <c r="AQ38" s="3"/>
      <c r="AR38" s="3"/>
      <c r="AS38" s="3"/>
      <c r="AT38" s="3"/>
      <c r="AU38" s="3"/>
      <c r="AV38" s="3"/>
      <c r="AX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K38" s="3"/>
    </row>
    <row r="39" spans="1:63" ht="17.25" thickBot="1" x14ac:dyDescent="0.35">
      <c r="A39" s="32" t="s">
        <v>9</v>
      </c>
      <c r="B39" s="33">
        <f>+B37+B28</f>
        <v>458.5</v>
      </c>
      <c r="C39" s="39"/>
      <c r="D39" s="33">
        <f t="shared" ref="D39:L39" si="28">+D37+D27+D27/(D29-D28)*D28</f>
        <v>62.469529314082536</v>
      </c>
      <c r="E39" s="33">
        <f t="shared" si="28"/>
        <v>93.939321593770316</v>
      </c>
      <c r="F39" s="33">
        <f t="shared" si="28"/>
        <v>126.18921787898961</v>
      </c>
      <c r="G39" s="33">
        <f t="shared" si="28"/>
        <v>159.23796748824938</v>
      </c>
      <c r="H39" s="33">
        <f t="shared" si="28"/>
        <v>193.1047388444814</v>
      </c>
      <c r="I39" s="33">
        <f t="shared" si="28"/>
        <v>-103.48619695046526</v>
      </c>
      <c r="J39" s="33">
        <f t="shared" si="28"/>
        <v>-77.871094230275475</v>
      </c>
      <c r="K39" s="33">
        <f t="shared" si="28"/>
        <v>-51.67665267037065</v>
      </c>
      <c r="L39" s="33">
        <f t="shared" si="28"/>
        <v>-24.890865968044373</v>
      </c>
      <c r="M39" s="33">
        <f>+M37+M27+M27/M29*M28</f>
        <v>2.1889298896457978</v>
      </c>
      <c r="O39" s="33">
        <f t="shared" ref="O39:X39" si="29">+O37+O27+O27/(O29-O28)*O28</f>
        <v>30.503878067467799</v>
      </c>
      <c r="P39" s="33">
        <f t="shared" si="29"/>
        <v>59.137981627610998</v>
      </c>
      <c r="Q39" s="33">
        <f t="shared" si="29"/>
        <v>88.413739464508296</v>
      </c>
      <c r="R39" s="33">
        <f t="shared" si="29"/>
        <v>118.34434143494963</v>
      </c>
      <c r="S39" s="33">
        <f t="shared" si="29"/>
        <v>148.94324018317317</v>
      </c>
      <c r="T39" s="33">
        <f t="shared" si="29"/>
        <v>180.22416040840815</v>
      </c>
      <c r="U39" s="33">
        <f t="shared" si="29"/>
        <v>212.20110824935944</v>
      </c>
      <c r="V39" s="33">
        <f t="shared" si="29"/>
        <v>244.88838071951616</v>
      </c>
      <c r="W39" s="33">
        <f t="shared" si="29"/>
        <v>290.80057512928272</v>
      </c>
      <c r="X39" s="33">
        <f t="shared" si="29"/>
        <v>337.45259843458774</v>
      </c>
      <c r="Z39" s="33">
        <f t="shared" ref="Z39:AI39" si="30">+Z37+Z27+Z27/(Z29-Z28)*Z28</f>
        <v>384.85967645665295</v>
      </c>
      <c r="AA39" s="33">
        <f t="shared" si="30"/>
        <v>445.53736292379244</v>
      </c>
      <c r="AB39" s="33">
        <f t="shared" si="30"/>
        <v>519.50154829315238</v>
      </c>
      <c r="AC39" s="33">
        <f t="shared" si="30"/>
        <v>594.26846831798196</v>
      </c>
      <c r="AD39" s="33">
        <f t="shared" si="30"/>
        <v>657.35471233403746</v>
      </c>
      <c r="AE39" s="33">
        <f t="shared" si="30"/>
        <v>733.77723124675822</v>
      </c>
      <c r="AF39" s="33">
        <f t="shared" si="30"/>
        <v>811.05334520878898</v>
      </c>
      <c r="AG39" s="33">
        <f t="shared" si="30"/>
        <v>889.20075098484062</v>
      </c>
      <c r="AH39" s="33">
        <f t="shared" si="30"/>
        <v>968.23752900782426</v>
      </c>
      <c r="AI39" s="33">
        <f t="shared" si="30"/>
        <v>1060.6821501363149</v>
      </c>
      <c r="AK39" s="23">
        <f>SUM(D39:AI39)</f>
        <v>9154.5876738190709</v>
      </c>
      <c r="AM39" s="33">
        <f t="shared" ref="AM39:AV39" si="31">+AM37+AM27+AM27/(AM29-AM28)*AM28</f>
        <v>1154.0534821287258</v>
      </c>
      <c r="AN39" s="33">
        <f t="shared" si="31"/>
        <v>1285.8707958539837</v>
      </c>
      <c r="AO39" s="33">
        <f t="shared" si="31"/>
        <v>1381.1537712619868</v>
      </c>
      <c r="AP39" s="33">
        <f>+AP37+AP27+AP27/(AP29-AP28)*AP28</f>
        <v>1514.9225031396575</v>
      </c>
      <c r="AQ39" s="33">
        <f>+AQ37+AQ27+AQ27/(AQ29-AQ28)*AQ28</f>
        <v>1649.6975066801233</v>
      </c>
      <c r="AR39" s="33">
        <f t="shared" si="31"/>
        <v>1785.4997228933523</v>
      </c>
      <c r="AS39" s="33">
        <f t="shared" si="31"/>
        <v>1922.3505238867267</v>
      </c>
      <c r="AT39" s="33">
        <f t="shared" si="31"/>
        <v>2097.7717180434461</v>
      </c>
      <c r="AU39" s="33">
        <f t="shared" si="31"/>
        <v>2274.285555125568</v>
      </c>
      <c r="AV39" s="33">
        <f t="shared" si="31"/>
        <v>2382.9032313269149</v>
      </c>
      <c r="AX39" s="21">
        <f>SUM(D39:AI39)+SUM(AM39:AV39)</f>
        <v>26603.09648415956</v>
      </c>
      <c r="AZ39" s="33">
        <f t="shared" ref="AZ39:BI39" si="32">+AZ37+AZ27+AZ27/(AZ29-AZ28)*AZ28</f>
        <v>2432.420894299154</v>
      </c>
      <c r="BA39" s="33">
        <f t="shared" si="32"/>
        <v>2487.3506481721506</v>
      </c>
      <c r="BB39" s="33">
        <f t="shared" si="32"/>
        <v>2543.4665585873349</v>
      </c>
      <c r="BC39" s="33">
        <f t="shared" si="32"/>
        <v>2600.7931577603363</v>
      </c>
      <c r="BD39" s="33">
        <f t="shared" si="32"/>
        <v>2659.3554495866206</v>
      </c>
      <c r="BE39" s="33">
        <f t="shared" si="32"/>
        <v>2719.1789148013577</v>
      </c>
      <c r="BF39" s="33">
        <f t="shared" si="32"/>
        <v>2780.289516202346</v>
      </c>
      <c r="BG39" s="33">
        <f t="shared" si="32"/>
        <v>2842.7137039424492</v>
      </c>
      <c r="BH39" s="33">
        <f t="shared" si="32"/>
        <v>2906.4784208958254</v>
      </c>
      <c r="BI39" s="33">
        <f t="shared" si="32"/>
        <v>2971.6111081001736</v>
      </c>
      <c r="BK39" s="34">
        <f>SUM(D39:AI39)+SUM(AM39:AV39)+SUM(AZ39:BI39)</f>
        <v>53546.754856507308</v>
      </c>
    </row>
    <row r="40" spans="1:63" ht="17.25" hidden="1" thickTop="1" x14ac:dyDescent="0.3">
      <c r="A40" s="1"/>
      <c r="B40" s="3"/>
      <c r="C40" s="3"/>
      <c r="D40" s="3"/>
      <c r="AK40" s="13"/>
    </row>
    <row r="41" spans="1:63" ht="17.25" thickTop="1" x14ac:dyDescent="0.3">
      <c r="A41" s="1"/>
      <c r="B41" s="3"/>
      <c r="C41" s="5"/>
      <c r="D41" s="3"/>
      <c r="AK41" s="13"/>
    </row>
    <row r="42" spans="1:63" x14ac:dyDescent="0.3">
      <c r="A42" s="1" t="s">
        <v>14</v>
      </c>
      <c r="B42" s="3"/>
      <c r="C42" s="5"/>
      <c r="D42" s="10">
        <f>'[2]Amortisatie schema'!$E$4/1000</f>
        <v>24034.77</v>
      </c>
      <c r="E42" s="15">
        <f t="shared" ref="E42:M42" si="33">+D44</f>
        <v>24034.77</v>
      </c>
      <c r="F42" s="8">
        <f t="shared" si="33"/>
        <v>24034.77</v>
      </c>
      <c r="G42" s="8">
        <f t="shared" si="33"/>
        <v>24034.77</v>
      </c>
      <c r="H42" s="8">
        <f t="shared" si="33"/>
        <v>24034.77</v>
      </c>
      <c r="I42" s="8">
        <f t="shared" si="33"/>
        <v>24034.77</v>
      </c>
      <c r="J42" s="8">
        <f t="shared" si="33"/>
        <v>24034.77</v>
      </c>
      <c r="K42" s="8">
        <f t="shared" si="33"/>
        <v>24034.77</v>
      </c>
      <c r="L42" s="8">
        <f t="shared" si="33"/>
        <v>24034.77</v>
      </c>
      <c r="M42" s="8">
        <f t="shared" si="33"/>
        <v>24034.77</v>
      </c>
      <c r="O42" s="8">
        <f>+M44</f>
        <v>24034.77</v>
      </c>
      <c r="P42" s="8">
        <f t="shared" ref="P42:X42" si="34">+O44</f>
        <v>24034.77</v>
      </c>
      <c r="Q42" s="8">
        <f t="shared" si="34"/>
        <v>24034.77</v>
      </c>
      <c r="R42" s="8">
        <f t="shared" si="34"/>
        <v>24034.77</v>
      </c>
      <c r="S42" s="8">
        <f t="shared" si="34"/>
        <v>24034.77</v>
      </c>
      <c r="T42" s="8">
        <f t="shared" si="34"/>
        <v>23784.77</v>
      </c>
      <c r="U42" s="8">
        <f t="shared" si="34"/>
        <v>23534.77</v>
      </c>
      <c r="V42" s="8">
        <f t="shared" si="34"/>
        <v>23534.77</v>
      </c>
      <c r="W42" s="8">
        <f t="shared" si="34"/>
        <v>23284.77</v>
      </c>
      <c r="X42" s="8">
        <f t="shared" si="34"/>
        <v>23034.77</v>
      </c>
      <c r="Z42" s="8">
        <f>+X44</f>
        <v>22784.77</v>
      </c>
      <c r="AA42" s="8">
        <f t="shared" ref="AA42:AI42" si="35">+Z44</f>
        <v>22534.77</v>
      </c>
      <c r="AB42" s="8">
        <f t="shared" si="35"/>
        <v>22034.77</v>
      </c>
      <c r="AC42" s="8">
        <f t="shared" si="35"/>
        <v>21534.77</v>
      </c>
      <c r="AD42" s="8">
        <f t="shared" si="35"/>
        <v>20784.77</v>
      </c>
      <c r="AE42" s="8">
        <f t="shared" si="35"/>
        <v>20284.77</v>
      </c>
      <c r="AF42" s="8">
        <f t="shared" si="35"/>
        <v>19534.77</v>
      </c>
      <c r="AG42" s="8">
        <f t="shared" si="35"/>
        <v>18784.77</v>
      </c>
      <c r="AH42" s="8">
        <f t="shared" si="35"/>
        <v>18034.77</v>
      </c>
      <c r="AI42" s="8">
        <f t="shared" si="35"/>
        <v>17034.77</v>
      </c>
      <c r="AK42" s="24"/>
      <c r="AM42" s="8">
        <f>+AI44</f>
        <v>16034.77</v>
      </c>
      <c r="AN42" s="8">
        <f t="shared" ref="AN42:AV42" si="36">+AM44</f>
        <v>15034.77</v>
      </c>
      <c r="AO42" s="8">
        <f t="shared" si="36"/>
        <v>13534.77</v>
      </c>
      <c r="AP42" s="8">
        <f t="shared" si="36"/>
        <v>12534.77</v>
      </c>
      <c r="AQ42" s="8">
        <f t="shared" si="36"/>
        <v>10784.77</v>
      </c>
      <c r="AR42" s="8">
        <f t="shared" si="36"/>
        <v>9034.77</v>
      </c>
      <c r="AS42" s="8">
        <f t="shared" si="36"/>
        <v>7284.77</v>
      </c>
      <c r="AT42" s="8">
        <f t="shared" si="36"/>
        <v>5534.77</v>
      </c>
      <c r="AU42" s="8">
        <f t="shared" si="36"/>
        <v>3784.7700000000004</v>
      </c>
      <c r="AV42" s="8">
        <f t="shared" si="36"/>
        <v>1284.7700000000004</v>
      </c>
      <c r="AX42" s="8"/>
      <c r="AZ42" s="8">
        <f>AV44</f>
        <v>0</v>
      </c>
      <c r="BA42" s="8">
        <f t="shared" ref="BA42:BI42" si="37">+AZ44</f>
        <v>0</v>
      </c>
      <c r="BB42" s="8">
        <f t="shared" si="37"/>
        <v>0</v>
      </c>
      <c r="BC42" s="8">
        <f t="shared" si="37"/>
        <v>0</v>
      </c>
      <c r="BD42" s="8">
        <f t="shared" si="37"/>
        <v>0</v>
      </c>
      <c r="BE42" s="8">
        <f t="shared" si="37"/>
        <v>0</v>
      </c>
      <c r="BF42" s="8">
        <f t="shared" si="37"/>
        <v>0</v>
      </c>
      <c r="BG42" s="8">
        <f t="shared" si="37"/>
        <v>0</v>
      </c>
      <c r="BH42" s="8">
        <f t="shared" si="37"/>
        <v>0</v>
      </c>
      <c r="BI42" s="8">
        <f t="shared" si="37"/>
        <v>0</v>
      </c>
      <c r="BK42" s="8"/>
    </row>
    <row r="43" spans="1:63" x14ac:dyDescent="0.3">
      <c r="A43" s="1" t="s">
        <v>29</v>
      </c>
      <c r="B43" s="3"/>
      <c r="C43" s="5"/>
      <c r="D43" s="3">
        <f>IF(B5+D39-$B$5&gt;2750,1750,IF(B5+D39-$B$5&gt;2500,1500,IF(B5+D39-$B$5&gt;2000,1000,IF(B5+D39-$B$5&gt;1500,500,IF(B5+D39-$B$5&gt;1250,250,IF(B5+D39-$B$5&gt;1000,250,0))))))</f>
        <v>0</v>
      </c>
      <c r="E43" s="3">
        <f t="shared" ref="E43:M43" si="38">IF(D46+E39-$B$5&gt;2750,1750,IF(D46+E39-$B$5&gt;2500,1500,IF(D46+E39-$B$5&gt;2000,1000,IF(D46+E39-$B$5&gt;1500,500,IF(D46+E39-$B$5&gt;1250,250,IF(D46+E39-$B$5&gt;1000,250,0))))))</f>
        <v>0</v>
      </c>
      <c r="F43" s="3">
        <f t="shared" si="38"/>
        <v>0</v>
      </c>
      <c r="G43" s="3">
        <f t="shared" si="38"/>
        <v>0</v>
      </c>
      <c r="H43" s="3">
        <f t="shared" si="38"/>
        <v>0</v>
      </c>
      <c r="I43" s="3">
        <f t="shared" si="38"/>
        <v>0</v>
      </c>
      <c r="J43" s="3">
        <f t="shared" si="38"/>
        <v>0</v>
      </c>
      <c r="K43" s="3">
        <f t="shared" si="38"/>
        <v>0</v>
      </c>
      <c r="L43" s="3">
        <f t="shared" si="38"/>
        <v>0</v>
      </c>
      <c r="M43" s="3">
        <f t="shared" si="38"/>
        <v>0</v>
      </c>
      <c r="O43" s="3">
        <f>IF(M46+O39-$B$5&gt;2750,1750,IF(M46+O39-$B$5&gt;2500,1500,IF(M46+O39-$B$5&gt;2000,1000,IF(M46+O39-$B$5&gt;1500,500,IF(M46+O39-$B$5&gt;1250,250,IF(M46+O39-$B$5&gt;1000,250,IF(M46+O39-$B$5&gt;750,250,IF(M46+O39-$B$5&gt;500,0,0))))))))</f>
        <v>0</v>
      </c>
      <c r="P43" s="3">
        <f t="shared" ref="P43:X43" si="39">IF(O46+P39-$B$5&gt;2750,1750,IF(O46+P39-$B$5&gt;2500,1500,IF(O46+P39-$B$5&gt;2000,1000,IF(O46+P39-$B$5&gt;1500,500,IF(O46+P39-$B$5&gt;1250,250,IF(O46+P39-$B$5&gt;1000,250,IF(O46+P39-$B$5&gt;750,250,IF(O46+P39-$B$5&gt;500,0,0))))))))</f>
        <v>0</v>
      </c>
      <c r="Q43" s="3">
        <f t="shared" si="39"/>
        <v>0</v>
      </c>
      <c r="R43" s="3">
        <f t="shared" si="39"/>
        <v>0</v>
      </c>
      <c r="S43" s="3">
        <f t="shared" si="39"/>
        <v>250</v>
      </c>
      <c r="T43" s="3">
        <f t="shared" si="39"/>
        <v>250</v>
      </c>
      <c r="U43" s="3">
        <f t="shared" si="39"/>
        <v>0</v>
      </c>
      <c r="V43" s="3">
        <f t="shared" si="39"/>
        <v>250</v>
      </c>
      <c r="W43" s="3">
        <f t="shared" si="39"/>
        <v>250</v>
      </c>
      <c r="X43" s="3">
        <f t="shared" si="39"/>
        <v>250</v>
      </c>
      <c r="Z43" s="3">
        <f>MIN(X44,IF(X46+Z39&gt;2750,1750,IF(X46+Z39&gt;2500,1500,IF(X46+Z39&gt;2000,1000,IF(X46+Z39&gt;1500,500,IF(X46+Z39&gt;1250,250,IF(X46+Z39&gt;1000,250,IF(X46+Z39&gt;750,250,IF(X46+Z39&gt;500,0,0)))))))))</f>
        <v>250</v>
      </c>
      <c r="AA43" s="3">
        <f t="shared" ref="AA43:AI43" si="40">MIN(Z44,IF(Z46+AA39&gt;2750,1750,IF(Z46+AA39&gt;2500,1500,IF(Z46+AA39&gt;2000,1000,IF(Z46+AA39&gt;1500,750,IF(Z46+AA39&gt;1250,500,IF(Z46+AA39&gt;1000,250,IF(Z46+AA39&gt;750,250,IF(Z46+AA39&gt;500,0,0)))))))))</f>
        <v>500</v>
      </c>
      <c r="AB43" s="3">
        <f t="shared" si="40"/>
        <v>500</v>
      </c>
      <c r="AC43" s="3">
        <f t="shared" si="40"/>
        <v>750</v>
      </c>
      <c r="AD43" s="3">
        <f t="shared" si="40"/>
        <v>500</v>
      </c>
      <c r="AE43" s="3">
        <f t="shared" si="40"/>
        <v>750</v>
      </c>
      <c r="AF43" s="3">
        <f t="shared" si="40"/>
        <v>750</v>
      </c>
      <c r="AG43" s="3">
        <f t="shared" si="40"/>
        <v>750</v>
      </c>
      <c r="AH43" s="3">
        <f t="shared" si="40"/>
        <v>1000</v>
      </c>
      <c r="AI43" s="3">
        <f t="shared" si="40"/>
        <v>1000</v>
      </c>
      <c r="AK43" s="21">
        <f>SUM(D43:AI43)</f>
        <v>8000</v>
      </c>
      <c r="AM43" s="3">
        <f>MIN(AI44,IF(AI44&gt;0,IF(AI46+AM39&gt;4000,3000,IF(AI46+AM39&gt;3500,2500,IF(AI46+AM39&gt;2750,1750,IF(AI46+AM39&gt;2500,1500,IF(AI46+AM39&gt;2000,1000,IF(AI46+AM39&gt;1500,500,IF(AI46+AM39&gt;1250,500,IF(AI46+AM39&gt;1000,250,IF(AI46+AM39&gt;750,0,IF(AI46+AM39&gt;500,250,0)))))))))),0))</f>
        <v>1000</v>
      </c>
      <c r="AN43" s="3">
        <f t="shared" ref="AN43:AV43" si="41">MIN(AM44,IF(AM44&gt;0,IF(AM46+AN39&gt;4000,3000,IF(AM46+AN39&gt;3500,2500,IF(AM46+AN39&gt;2750,1750,IF(AM46+AN39&gt;2500,1500,IF(AM46+AN39&gt;2000,1000,IF(AM46+AN39&gt;1500,500,IF(AM46+AN39&gt;1250,500,IF(AM46+AN39&gt;1000,250,IF(AM46+AN39&gt;750,0,IF(AM46+AN39&gt;500,250,0)))))))))),0))</f>
        <v>1500</v>
      </c>
      <c r="AO43" s="3">
        <f t="shared" si="41"/>
        <v>1000</v>
      </c>
      <c r="AP43" s="3">
        <f t="shared" si="41"/>
        <v>1750</v>
      </c>
      <c r="AQ43" s="3">
        <f t="shared" si="41"/>
        <v>1750</v>
      </c>
      <c r="AR43" s="3">
        <f t="shared" si="41"/>
        <v>1750</v>
      </c>
      <c r="AS43" s="3">
        <f t="shared" si="41"/>
        <v>1750</v>
      </c>
      <c r="AT43" s="3">
        <f t="shared" si="41"/>
        <v>1750</v>
      </c>
      <c r="AU43" s="3">
        <f t="shared" si="41"/>
        <v>2500</v>
      </c>
      <c r="AV43" s="3">
        <f t="shared" si="41"/>
        <v>1284.7700000000004</v>
      </c>
      <c r="AX43" s="21">
        <f>SUM(D43:AI43)+SUM(AM43:AV43)</f>
        <v>24034.77</v>
      </c>
      <c r="AZ43" s="3">
        <f>MIN(AV44,IF(AV44&gt;0,IF(AV46+AZ39&gt;4000,3000,IF(AV46+AZ39&gt;3500,2500,IF(AV46+AZ39&gt;2750,1750,IF(AV46+AZ39&gt;2500,1500,IF(AV46+AZ39&gt;2000,1000,IF(AV46+AZ39&gt;1500,500,IF(AV46+AZ39&gt;1250,500,IF(AV46+AZ39&gt;1000,250,IF(AV46+AZ39&gt;750,0,IF(AV46+AZ39&gt;500,250,0)))))))))),0))</f>
        <v>0</v>
      </c>
      <c r="BA43" s="3">
        <f t="shared" ref="BA43:BF43" si="42">MIN(AZ44,IF(AZ44&gt;0,IF(AZ46+BA39&gt;4000,3000,IF(AZ46+BA39&gt;3500,2500,IF(AZ46+BA39&gt;2750,1750,IF(AZ46+BA39&gt;2500,1500,IF(AZ46+BA39&gt;2000,1000,IF(AZ46+BA39&gt;1500,500,IF(AZ46+BA39&gt;1250,500,IF(AZ46+BA39&gt;1000,250,IF(AZ46+BA39&gt;750,0,IF(AZ46+BA39&gt;500,250,0)))))))))),0))</f>
        <v>0</v>
      </c>
      <c r="BB43" s="3">
        <f t="shared" si="42"/>
        <v>0</v>
      </c>
      <c r="BC43" s="3">
        <f t="shared" si="42"/>
        <v>0</v>
      </c>
      <c r="BD43" s="3">
        <f t="shared" si="42"/>
        <v>0</v>
      </c>
      <c r="BE43" s="3">
        <f t="shared" si="42"/>
        <v>0</v>
      </c>
      <c r="BF43" s="3">
        <f t="shared" si="42"/>
        <v>0</v>
      </c>
      <c r="BG43" s="3">
        <f>IF(BF44&gt;0,IF(BF46+BG39&gt;4000,3000,IF(BF46+BG39&gt;3500,2500,IF(BF46+BG39&gt;2750,1750,IF(BF46+BG39&gt;2500,1500,IF(BF46+BG39&gt;2000,1000,IF(BF46+BG39&gt;1500,500,IF(BF46+BG39&gt;1250,500,IF(BF46+BG39&gt;1000,250,IF(BF46+BG39&gt;750,0,IF(BF46+BG39&gt;500,250,0)))))))))),0)</f>
        <v>0</v>
      </c>
      <c r="BH43" s="3">
        <f>IF(BG44&gt;0,IF(BG46+BH39&gt;4000,3000,IF(BG46+BH39&gt;3500,2500,IF(BG46+BH39&gt;2750,1750,IF(BG46+BH39&gt;2500,1500,IF(BG46+BH39&gt;2000,1000,IF(BG46+BH39&gt;1500,500,IF(BG46+BH39&gt;1250,500,IF(BG46+BH39&gt;1000,250,IF(BG46+BH39&gt;750,0,IF(BG46+BH39&gt;500,250,0)))))))))),0)</f>
        <v>0</v>
      </c>
      <c r="BI43" s="3">
        <f>IF(BH44&gt;0,IF(BH46+BI39&gt;4000,3000,IF(BH46+BI39&gt;3500,2500,IF(BH46+BI39&gt;2750,1750,IF(BH46+BI39&gt;2500,1500,IF(BH46+BI39&gt;2000,1000,IF(BH46+BI39&gt;1500,500,IF(BH46+BI39&gt;1250,500,IF(BH46+BI39&gt;1000,250,IF(BH46+BI39&gt;750,0,IF(BH46+BI39&gt;500,250,0)))))))))),0)</f>
        <v>0</v>
      </c>
      <c r="BK43" s="21">
        <f>SUM(D43:AI43)+SUM(AM43:AV43)+SUM(AZ43:BI43)</f>
        <v>24034.77</v>
      </c>
    </row>
    <row r="44" spans="1:63" ht="17.25" thickBot="1" x14ac:dyDescent="0.35">
      <c r="A44" s="35" t="s">
        <v>15</v>
      </c>
      <c r="B44" s="36"/>
      <c r="C44" s="39"/>
      <c r="D44" s="36">
        <f t="shared" ref="D44:M44" si="43">MAX(0,D42-D43)</f>
        <v>24034.77</v>
      </c>
      <c r="E44" s="36">
        <f t="shared" si="43"/>
        <v>24034.77</v>
      </c>
      <c r="F44" s="36">
        <f t="shared" si="43"/>
        <v>24034.77</v>
      </c>
      <c r="G44" s="36">
        <f t="shared" si="43"/>
        <v>24034.77</v>
      </c>
      <c r="H44" s="36">
        <f t="shared" si="43"/>
        <v>24034.77</v>
      </c>
      <c r="I44" s="36">
        <f t="shared" si="43"/>
        <v>24034.77</v>
      </c>
      <c r="J44" s="36">
        <f t="shared" si="43"/>
        <v>24034.77</v>
      </c>
      <c r="K44" s="36">
        <f t="shared" si="43"/>
        <v>24034.77</v>
      </c>
      <c r="L44" s="36">
        <f t="shared" si="43"/>
        <v>24034.77</v>
      </c>
      <c r="M44" s="53">
        <f t="shared" si="43"/>
        <v>24034.77</v>
      </c>
      <c r="O44" s="36">
        <f t="shared" ref="O44:X44" si="44">MAX(0,O42-O43)</f>
        <v>24034.77</v>
      </c>
      <c r="P44" s="36">
        <f t="shared" si="44"/>
        <v>24034.77</v>
      </c>
      <c r="Q44" s="36">
        <f t="shared" si="44"/>
        <v>24034.77</v>
      </c>
      <c r="R44" s="36">
        <f t="shared" si="44"/>
        <v>24034.77</v>
      </c>
      <c r="S44" s="36">
        <f t="shared" si="44"/>
        <v>23784.77</v>
      </c>
      <c r="T44" s="36">
        <f t="shared" si="44"/>
        <v>23534.77</v>
      </c>
      <c r="U44" s="36">
        <f t="shared" si="44"/>
        <v>23534.77</v>
      </c>
      <c r="V44" s="36">
        <f t="shared" si="44"/>
        <v>23284.77</v>
      </c>
      <c r="W44" s="36">
        <f t="shared" si="44"/>
        <v>23034.77</v>
      </c>
      <c r="X44" s="53">
        <f t="shared" si="44"/>
        <v>22784.77</v>
      </c>
      <c r="Z44" s="36">
        <f t="shared" ref="Z44:AI44" si="45">MAX(0,Z42-Z43)</f>
        <v>22534.77</v>
      </c>
      <c r="AA44" s="36">
        <f t="shared" si="45"/>
        <v>22034.77</v>
      </c>
      <c r="AB44" s="36">
        <f t="shared" si="45"/>
        <v>21534.77</v>
      </c>
      <c r="AC44" s="36">
        <f t="shared" si="45"/>
        <v>20784.77</v>
      </c>
      <c r="AD44" s="36">
        <f t="shared" si="45"/>
        <v>20284.77</v>
      </c>
      <c r="AE44" s="36">
        <f t="shared" si="45"/>
        <v>19534.77</v>
      </c>
      <c r="AF44" s="36">
        <f t="shared" si="45"/>
        <v>18784.77</v>
      </c>
      <c r="AG44" s="36">
        <f t="shared" si="45"/>
        <v>18034.77</v>
      </c>
      <c r="AH44" s="36">
        <f t="shared" si="45"/>
        <v>17034.77</v>
      </c>
      <c r="AI44" s="53">
        <f t="shared" si="45"/>
        <v>16034.77</v>
      </c>
      <c r="AK44" s="37"/>
      <c r="AM44" s="36">
        <f t="shared" ref="AM44:AV44" si="46">MAX(0,AM42-AM43)</f>
        <v>15034.77</v>
      </c>
      <c r="AN44" s="36">
        <f t="shared" si="46"/>
        <v>13534.77</v>
      </c>
      <c r="AO44" s="36">
        <f t="shared" si="46"/>
        <v>12534.77</v>
      </c>
      <c r="AP44" s="36">
        <f t="shared" si="46"/>
        <v>10784.77</v>
      </c>
      <c r="AQ44" s="36">
        <f t="shared" si="46"/>
        <v>9034.77</v>
      </c>
      <c r="AR44" s="36">
        <f t="shared" si="46"/>
        <v>7284.77</v>
      </c>
      <c r="AS44" s="36">
        <f t="shared" si="46"/>
        <v>5534.77</v>
      </c>
      <c r="AT44" s="36">
        <f t="shared" si="46"/>
        <v>3784.7700000000004</v>
      </c>
      <c r="AU44" s="36">
        <f t="shared" si="46"/>
        <v>1284.7700000000004</v>
      </c>
      <c r="AV44" s="53">
        <f t="shared" si="46"/>
        <v>0</v>
      </c>
      <c r="AX44" s="36"/>
      <c r="AZ44" s="36">
        <f t="shared" ref="AZ44:BI44" si="47">MAX(0,AZ42-AZ43)</f>
        <v>0</v>
      </c>
      <c r="BA44" s="36">
        <f t="shared" si="47"/>
        <v>0</v>
      </c>
      <c r="BB44" s="36">
        <f t="shared" si="47"/>
        <v>0</v>
      </c>
      <c r="BC44" s="36">
        <f t="shared" si="47"/>
        <v>0</v>
      </c>
      <c r="BD44" s="36">
        <f t="shared" si="47"/>
        <v>0</v>
      </c>
      <c r="BE44" s="36">
        <f t="shared" si="47"/>
        <v>0</v>
      </c>
      <c r="BF44" s="36">
        <f t="shared" si="47"/>
        <v>0</v>
      </c>
      <c r="BG44" s="36">
        <f t="shared" si="47"/>
        <v>0</v>
      </c>
      <c r="BH44" s="36">
        <f t="shared" si="47"/>
        <v>0</v>
      </c>
      <c r="BI44" s="53">
        <f t="shared" si="47"/>
        <v>0</v>
      </c>
      <c r="BK44" s="36"/>
    </row>
    <row r="45" spans="1:63" x14ac:dyDescent="0.3">
      <c r="B45" s="3"/>
      <c r="C45" s="5"/>
      <c r="D45" s="10"/>
      <c r="E45" s="16"/>
    </row>
    <row r="46" spans="1:63" ht="17.25" thickBot="1" x14ac:dyDescent="0.35">
      <c r="A46" s="6" t="s">
        <v>38</v>
      </c>
      <c r="B46" s="47"/>
      <c r="C46" s="39"/>
      <c r="D46" s="7">
        <f>+C46+D39-D43+B5</f>
        <v>62.469529314082536</v>
      </c>
      <c r="E46" s="7">
        <f t="shared" ref="E46:M46" si="48">+D46+E39-E43</f>
        <v>156.40885090785287</v>
      </c>
      <c r="F46" s="7">
        <f t="shared" si="48"/>
        <v>282.59806878684248</v>
      </c>
      <c r="G46" s="7">
        <f t="shared" si="48"/>
        <v>441.83603627509183</v>
      </c>
      <c r="H46" s="7">
        <f t="shared" si="48"/>
        <v>634.94077511957323</v>
      </c>
      <c r="I46" s="7">
        <f t="shared" si="48"/>
        <v>531.454578169108</v>
      </c>
      <c r="J46" s="7">
        <f t="shared" si="48"/>
        <v>453.5834839388325</v>
      </c>
      <c r="K46" s="7">
        <f t="shared" si="48"/>
        <v>401.90683126846187</v>
      </c>
      <c r="L46" s="7">
        <f t="shared" si="48"/>
        <v>377.01596530041752</v>
      </c>
      <c r="M46" s="54">
        <f t="shared" si="48"/>
        <v>379.20489519006333</v>
      </c>
      <c r="O46" s="38">
        <f>+M46+O39-O43</f>
        <v>409.70877325753111</v>
      </c>
      <c r="P46" s="38">
        <f t="shared" ref="P46:X46" si="49">+O46+P39-P43</f>
        <v>468.8467548851421</v>
      </c>
      <c r="Q46" s="38">
        <f t="shared" si="49"/>
        <v>557.26049434965034</v>
      </c>
      <c r="R46" s="38">
        <f t="shared" si="49"/>
        <v>675.60483578460003</v>
      </c>
      <c r="S46" s="38">
        <f t="shared" si="49"/>
        <v>574.54807596777323</v>
      </c>
      <c r="T46" s="38">
        <f t="shared" si="49"/>
        <v>504.77223637618135</v>
      </c>
      <c r="U46" s="38">
        <f t="shared" si="49"/>
        <v>716.97334462554079</v>
      </c>
      <c r="V46" s="38">
        <f t="shared" si="49"/>
        <v>711.86172534505693</v>
      </c>
      <c r="W46" s="38">
        <f t="shared" si="49"/>
        <v>752.66230047433965</v>
      </c>
      <c r="X46" s="38">
        <f t="shared" si="49"/>
        <v>840.11489890892744</v>
      </c>
      <c r="Z46" s="38">
        <f>+X46+Z39-Z43</f>
        <v>974.97457536558045</v>
      </c>
      <c r="AA46" s="38">
        <f t="shared" ref="AA46:AI46" si="50">+Z46+AA39-AA43</f>
        <v>920.51193828937289</v>
      </c>
      <c r="AB46" s="38">
        <f t="shared" si="50"/>
        <v>940.01348658252527</v>
      </c>
      <c r="AC46" s="38">
        <f t="shared" si="50"/>
        <v>784.28195490050712</v>
      </c>
      <c r="AD46" s="38">
        <f t="shared" si="50"/>
        <v>941.63666723454457</v>
      </c>
      <c r="AE46" s="38">
        <f t="shared" si="50"/>
        <v>925.41389848130279</v>
      </c>
      <c r="AF46" s="38">
        <f t="shared" si="50"/>
        <v>986.46724369009189</v>
      </c>
      <c r="AG46" s="38">
        <f t="shared" si="50"/>
        <v>1125.6679946749325</v>
      </c>
      <c r="AH46" s="38">
        <f t="shared" si="50"/>
        <v>1093.9055236827567</v>
      </c>
      <c r="AI46" s="38">
        <f t="shared" si="50"/>
        <v>1154.5876738190718</v>
      </c>
      <c r="AM46" s="38">
        <f>+AI46+AM39-AM43</f>
        <v>1308.6411559477974</v>
      </c>
      <c r="AN46" s="38">
        <f t="shared" ref="AN46:AV46" si="51">+AM46+AN39-AN43</f>
        <v>1094.5119518017809</v>
      </c>
      <c r="AO46" s="38">
        <f t="shared" si="51"/>
        <v>1475.6657230637675</v>
      </c>
      <c r="AP46" s="38">
        <f t="shared" si="51"/>
        <v>1240.5882262034247</v>
      </c>
      <c r="AQ46" s="38">
        <f t="shared" si="51"/>
        <v>1140.285732883548</v>
      </c>
      <c r="AR46" s="38">
        <f t="shared" si="51"/>
        <v>1175.7854557769006</v>
      </c>
      <c r="AS46" s="38">
        <f t="shared" si="51"/>
        <v>1348.135979663627</v>
      </c>
      <c r="AT46" s="38">
        <f t="shared" si="51"/>
        <v>1695.9076977070731</v>
      </c>
      <c r="AU46" s="38">
        <f t="shared" si="51"/>
        <v>1470.1932528326411</v>
      </c>
      <c r="AV46" s="38">
        <f t="shared" si="51"/>
        <v>2568.3264841595555</v>
      </c>
      <c r="AZ46" s="38">
        <f>+AV46+AZ39-AZ43</f>
        <v>5000.7473784587091</v>
      </c>
      <c r="BA46" s="38">
        <f t="shared" ref="BA46:BI46" si="52">+AZ46+BA39-BA43</f>
        <v>7488.0980266308597</v>
      </c>
      <c r="BB46" s="38">
        <f t="shared" si="52"/>
        <v>10031.564585218195</v>
      </c>
      <c r="BC46" s="38">
        <f t="shared" si="52"/>
        <v>12632.357742978531</v>
      </c>
      <c r="BD46" s="38">
        <f t="shared" si="52"/>
        <v>15291.713192565152</v>
      </c>
      <c r="BE46" s="38">
        <f t="shared" si="52"/>
        <v>18010.892107366511</v>
      </c>
      <c r="BF46" s="38">
        <f t="shared" si="52"/>
        <v>20791.181623568857</v>
      </c>
      <c r="BG46" s="38">
        <f t="shared" si="52"/>
        <v>23633.895327511305</v>
      </c>
      <c r="BH46" s="38">
        <f t="shared" si="52"/>
        <v>26540.373748407132</v>
      </c>
      <c r="BI46" s="38">
        <f t="shared" si="52"/>
        <v>29511.984856507304</v>
      </c>
      <c r="BK46" s="50">
        <f>BI46</f>
        <v>29511.984856507304</v>
      </c>
    </row>
    <row r="47" spans="1:63" ht="18" thickTop="1" thickBot="1" x14ac:dyDescent="0.35">
      <c r="B47" s="3"/>
      <c r="C47" s="3"/>
      <c r="D47" s="3"/>
      <c r="AK47" s="38">
        <f>+AK37-AK43</f>
        <v>632.51327889582171</v>
      </c>
      <c r="AX47" s="38">
        <f>+AX37-AX43</f>
        <v>1730.1088071485319</v>
      </c>
      <c r="BK47" s="8">
        <f>+BK46-AY46</f>
        <v>29511.984856507304</v>
      </c>
    </row>
    <row r="48" spans="1:63" ht="17.25" thickTop="1" x14ac:dyDescent="0.3">
      <c r="B48" s="3"/>
      <c r="C48" s="3"/>
      <c r="D48" s="3"/>
      <c r="AK48" s="8">
        <f>+AK47-AI46</f>
        <v>-522.07439492325011</v>
      </c>
      <c r="AX48" s="8">
        <f>+AX47-AL46</f>
        <v>1730.1088071485319</v>
      </c>
      <c r="BK48" s="8"/>
    </row>
    <row r="49" spans="1:63" x14ac:dyDescent="0.3">
      <c r="A49" t="s">
        <v>33</v>
      </c>
      <c r="B49" s="3"/>
      <c r="C49" s="3"/>
      <c r="D49" s="3">
        <f t="shared" ref="D49:I49" si="53">C49+IF(D33&lt;0,-D33,0)-IF(C49&gt;0,IF(D33&gt;C49,C49,D33),0)</f>
        <v>0</v>
      </c>
      <c r="E49" s="3">
        <f t="shared" si="53"/>
        <v>0</v>
      </c>
      <c r="F49" s="3">
        <f t="shared" si="53"/>
        <v>0</v>
      </c>
      <c r="G49" s="3">
        <f t="shared" si="53"/>
        <v>0</v>
      </c>
      <c r="H49" s="3">
        <f t="shared" si="53"/>
        <v>0</v>
      </c>
      <c r="I49" s="3">
        <f t="shared" si="53"/>
        <v>114.88587589729286</v>
      </c>
      <c r="J49" s="3">
        <f>I49+IF(J33&lt;0,-J33,0)-IF(AND(I49&gt;0,J33&gt;0),IF(J33&gt;I49,I49,J33),0)</f>
        <v>204.67808718797869</v>
      </c>
      <c r="K49" s="3">
        <f>J49+IF(K33&lt;0,-K33,0)-IF(AND(J49&gt;0,K33&gt;0),IF(K33&gt;J49,J49,K33),0)</f>
        <v>268.81162178677118</v>
      </c>
      <c r="L49" s="3">
        <f>K49+IF(L33&lt;0,-L33,0)-IF(AND(K49&gt;0,L33&gt;0),IF(L33&gt;K49,K49,L33),0)</f>
        <v>306.70921219214847</v>
      </c>
      <c r="M49" s="3">
        <f>L49+IF(M33&lt;0,-M33,0)-IF(AND(L49&gt;0,M33&gt;0),IF(M33&gt;L49,L49,M33),0)</f>
        <v>317.781085197523</v>
      </c>
      <c r="O49" s="3">
        <f>M49+IF(O33&lt;0,-O33,0)-IF(AND(M49&gt;0,O33&gt;0),IF(O33&gt;M49,M49,O33),0)</f>
        <v>301.42470702809101</v>
      </c>
      <c r="P49" s="3">
        <f t="shared" ref="P49:X49" si="54">O49+IF(P33&lt;0,-P33,0)-IF(AND(O49&gt;0,P33&gt;0),IF(P33&gt;O49,O49,P33),0)</f>
        <v>257.02452383948389</v>
      </c>
      <c r="Q49" s="3">
        <f t="shared" si="54"/>
        <v>183.9516975142742</v>
      </c>
      <c r="R49" s="3">
        <f t="shared" si="54"/>
        <v>81.563836692339919</v>
      </c>
      <c r="S49" s="3">
        <f t="shared" si="54"/>
        <v>0</v>
      </c>
      <c r="T49" s="3">
        <f t="shared" si="54"/>
        <v>0</v>
      </c>
      <c r="U49" s="3">
        <f t="shared" si="54"/>
        <v>0</v>
      </c>
      <c r="V49" s="3">
        <f t="shared" si="54"/>
        <v>0</v>
      </c>
      <c r="W49" s="3">
        <f t="shared" si="54"/>
        <v>0</v>
      </c>
      <c r="X49" s="3">
        <f t="shared" si="54"/>
        <v>0</v>
      </c>
      <c r="Z49" s="3">
        <f>X49+IF(Z33&lt;0,-Z33,0)-IF(AND(X49&gt;0,Z33&gt;0),IF(Z33&gt;X49,X49,Z33),0)</f>
        <v>0</v>
      </c>
      <c r="AA49" s="3">
        <f t="shared" ref="AA49:AI49" si="55">Z49+IF(AA33&lt;0,-AA33,0)-IF(AND(Z49&gt;0,AA33&gt;0),IF(AA33&gt;Z49,Z49,AA33),0)</f>
        <v>0</v>
      </c>
      <c r="AB49" s="3">
        <f t="shared" si="55"/>
        <v>0</v>
      </c>
      <c r="AC49" s="3">
        <f t="shared" si="55"/>
        <v>0</v>
      </c>
      <c r="AD49" s="3">
        <f t="shared" si="55"/>
        <v>0</v>
      </c>
      <c r="AE49" s="3">
        <f t="shared" si="55"/>
        <v>0</v>
      </c>
      <c r="AF49" s="3">
        <f t="shared" si="55"/>
        <v>0</v>
      </c>
      <c r="AG49" s="3">
        <f t="shared" si="55"/>
        <v>0</v>
      </c>
      <c r="AH49" s="3">
        <f t="shared" si="55"/>
        <v>0</v>
      </c>
      <c r="AI49" s="3">
        <f t="shared" si="55"/>
        <v>0</v>
      </c>
      <c r="AK49" s="8"/>
      <c r="AM49" s="3">
        <f>AI49+IF(AM33&lt;0,-AM33,0)-IF(AND(AI49&gt;0,AM33&gt;0),IF(AM33&gt;AI49,AI49,AM33),0)</f>
        <v>0</v>
      </c>
      <c r="AN49" s="3">
        <f t="shared" ref="AN49:AV49" si="56">AM49+IF(AN33&lt;0,-AN33,0)-IF(AND(AM49&gt;0,AN33&gt;0),IF(AN33&gt;AM49,AM49,AN33),0)</f>
        <v>0</v>
      </c>
      <c r="AO49" s="3">
        <f t="shared" si="56"/>
        <v>0</v>
      </c>
      <c r="AP49" s="3">
        <f t="shared" si="56"/>
        <v>0</v>
      </c>
      <c r="AQ49" s="3">
        <f t="shared" si="56"/>
        <v>0</v>
      </c>
      <c r="AR49" s="3">
        <f t="shared" si="56"/>
        <v>0</v>
      </c>
      <c r="AS49" s="3">
        <f t="shared" si="56"/>
        <v>0</v>
      </c>
      <c r="AT49" s="3">
        <f t="shared" si="56"/>
        <v>0</v>
      </c>
      <c r="AU49" s="3">
        <f t="shared" si="56"/>
        <v>0</v>
      </c>
      <c r="AV49" s="3">
        <f t="shared" si="56"/>
        <v>0</v>
      </c>
      <c r="AX49" s="8"/>
      <c r="AZ49" s="3">
        <f>AV49+IF(AZ33&lt;0,-AZ33,0)-IF(AND(AV49&gt;0,AZ33&gt;0),IF(AZ33&gt;AV49,AV49,AZ33),0)</f>
        <v>0</v>
      </c>
      <c r="BA49" s="3">
        <f t="shared" ref="BA49:BI49" si="57">AZ49+IF(BA33&lt;0,-BA33,0)-IF(AND(AZ49&gt;0,BA33&gt;0),IF(BA33&gt;AZ49,AZ49,BA33),0)</f>
        <v>0</v>
      </c>
      <c r="BB49" s="3">
        <f t="shared" si="57"/>
        <v>0</v>
      </c>
      <c r="BC49" s="3">
        <f t="shared" si="57"/>
        <v>0</v>
      </c>
      <c r="BD49" s="3">
        <f t="shared" si="57"/>
        <v>0</v>
      </c>
      <c r="BE49" s="3">
        <f t="shared" si="57"/>
        <v>0</v>
      </c>
      <c r="BF49" s="3">
        <f t="shared" si="57"/>
        <v>0</v>
      </c>
      <c r="BG49" s="3">
        <f t="shared" si="57"/>
        <v>0</v>
      </c>
      <c r="BH49" s="3">
        <f t="shared" si="57"/>
        <v>0</v>
      </c>
      <c r="BI49" s="3">
        <f t="shared" si="57"/>
        <v>0</v>
      </c>
      <c r="BK49" s="8"/>
    </row>
    <row r="50" spans="1:63" x14ac:dyDescent="0.3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AK50" s="8"/>
      <c r="AX50" s="8"/>
      <c r="BK50" s="8"/>
    </row>
    <row r="51" spans="1:63" x14ac:dyDescent="0.3">
      <c r="B51" s="3"/>
      <c r="C51" s="3"/>
      <c r="D51" s="3">
        <f>IF(D52&gt;0,D52,"")</f>
        <v>1</v>
      </c>
      <c r="E51" s="8">
        <f>IF(E52&gt;0,D51+E52,"")</f>
        <v>2</v>
      </c>
      <c r="F51" s="8">
        <f t="shared" ref="F51:M51" si="58">IF(F52&gt;0,E51+F52,"")</f>
        <v>3</v>
      </c>
      <c r="G51" s="8">
        <f t="shared" si="58"/>
        <v>4</v>
      </c>
      <c r="H51" s="8">
        <f t="shared" si="58"/>
        <v>5</v>
      </c>
      <c r="I51" s="8">
        <f t="shared" si="58"/>
        <v>6</v>
      </c>
      <c r="J51" s="8">
        <f t="shared" si="58"/>
        <v>7</v>
      </c>
      <c r="K51" s="8">
        <f t="shared" si="58"/>
        <v>8</v>
      </c>
      <c r="L51" s="8">
        <f t="shared" si="58"/>
        <v>9</v>
      </c>
      <c r="M51" s="8">
        <f t="shared" si="58"/>
        <v>10</v>
      </c>
      <c r="N51" s="8">
        <f>M51+N52</f>
        <v>10</v>
      </c>
      <c r="O51" s="8">
        <f>IF(O52&gt;0,N51+O52,"")</f>
        <v>11</v>
      </c>
      <c r="P51" s="8">
        <f t="shared" ref="P51:X51" si="59">IF(P52&gt;0,O51+P52,"")</f>
        <v>12</v>
      </c>
      <c r="Q51" s="8">
        <f t="shared" si="59"/>
        <v>13</v>
      </c>
      <c r="R51" s="8">
        <f t="shared" si="59"/>
        <v>14</v>
      </c>
      <c r="S51" s="8">
        <f t="shared" si="59"/>
        <v>15</v>
      </c>
      <c r="T51" s="8">
        <f t="shared" si="59"/>
        <v>16</v>
      </c>
      <c r="U51" s="8">
        <f t="shared" si="59"/>
        <v>17</v>
      </c>
      <c r="V51" s="8">
        <f t="shared" si="59"/>
        <v>18</v>
      </c>
      <c r="W51" s="8">
        <f t="shared" si="59"/>
        <v>19</v>
      </c>
      <c r="X51" s="8">
        <f t="shared" si="59"/>
        <v>20</v>
      </c>
      <c r="Z51" s="8">
        <f>IF(Z52&gt;0,X51+Z52,"")</f>
        <v>21</v>
      </c>
      <c r="AA51" s="8">
        <f t="shared" ref="AA51:AI51" si="60">IF(AA52&gt;0,Z51+AA52,"")</f>
        <v>22</v>
      </c>
      <c r="AB51" s="8">
        <f t="shared" si="60"/>
        <v>23</v>
      </c>
      <c r="AC51" s="8">
        <f t="shared" si="60"/>
        <v>24</v>
      </c>
      <c r="AD51" s="8">
        <f t="shared" si="60"/>
        <v>25</v>
      </c>
      <c r="AE51" s="8">
        <f t="shared" si="60"/>
        <v>26</v>
      </c>
      <c r="AF51" s="8">
        <f t="shared" si="60"/>
        <v>27</v>
      </c>
      <c r="AG51" s="8">
        <f t="shared" si="60"/>
        <v>28</v>
      </c>
      <c r="AH51" s="8">
        <f t="shared" si="60"/>
        <v>29</v>
      </c>
      <c r="AI51" s="8">
        <f t="shared" si="60"/>
        <v>30</v>
      </c>
      <c r="AK51" s="8"/>
      <c r="AM51" s="8">
        <f>IF(AM52&gt;0,AI51+AM52,"")</f>
        <v>31</v>
      </c>
      <c r="AN51" s="8">
        <f>IF(AN52&gt;0,AM51+AN52,"")</f>
        <v>32</v>
      </c>
      <c r="AO51" s="8">
        <f t="shared" ref="AO51:AV51" si="61">IF(AO52&gt;0,AN51+AO52,"")</f>
        <v>33</v>
      </c>
      <c r="AP51" s="8">
        <f t="shared" si="61"/>
        <v>34</v>
      </c>
      <c r="AQ51" s="8">
        <f t="shared" si="61"/>
        <v>35</v>
      </c>
      <c r="AR51" s="8">
        <f t="shared" si="61"/>
        <v>36</v>
      </c>
      <c r="AS51" s="8">
        <f t="shared" si="61"/>
        <v>37</v>
      </c>
      <c r="AT51" s="8">
        <f t="shared" si="61"/>
        <v>38</v>
      </c>
      <c r="AU51" s="8">
        <f t="shared" si="61"/>
        <v>39</v>
      </c>
      <c r="AV51" s="8" t="str">
        <f t="shared" si="61"/>
        <v/>
      </c>
      <c r="AX51" s="8"/>
      <c r="AZ51" s="8" t="str">
        <f>IF(AZ52&gt;0,AV51+AZ52,"")</f>
        <v/>
      </c>
      <c r="BA51" s="8" t="str">
        <f t="shared" ref="BA51:BI51" si="62">IF(BA52&gt;0,AZ51+BA52,"")</f>
        <v/>
      </c>
      <c r="BB51" s="8" t="str">
        <f t="shared" si="62"/>
        <v/>
      </c>
      <c r="BC51" s="8" t="str">
        <f t="shared" si="62"/>
        <v/>
      </c>
      <c r="BD51" s="8" t="str">
        <f t="shared" si="62"/>
        <v/>
      </c>
      <c r="BE51" s="8" t="str">
        <f t="shared" si="62"/>
        <v/>
      </c>
      <c r="BF51" s="8" t="str">
        <f t="shared" si="62"/>
        <v/>
      </c>
      <c r="BG51" s="8" t="str">
        <f t="shared" si="62"/>
        <v/>
      </c>
      <c r="BH51" s="8" t="str">
        <f t="shared" si="62"/>
        <v/>
      </c>
      <c r="BI51" s="8" t="str">
        <f t="shared" si="62"/>
        <v/>
      </c>
      <c r="BK51" s="8"/>
    </row>
    <row r="52" spans="1:63" x14ac:dyDescent="0.3">
      <c r="A52" t="s">
        <v>31</v>
      </c>
      <c r="D52">
        <f>IF(D44&gt;0,1,0)</f>
        <v>1</v>
      </c>
      <c r="E52">
        <f t="shared" ref="E52:M52" si="63">IF(E44&gt;0,1,0)</f>
        <v>1</v>
      </c>
      <c r="F52">
        <f t="shared" si="63"/>
        <v>1</v>
      </c>
      <c r="G52">
        <f t="shared" si="63"/>
        <v>1</v>
      </c>
      <c r="H52">
        <f t="shared" si="63"/>
        <v>1</v>
      </c>
      <c r="I52">
        <f t="shared" si="63"/>
        <v>1</v>
      </c>
      <c r="J52">
        <f t="shared" si="63"/>
        <v>1</v>
      </c>
      <c r="K52">
        <f t="shared" si="63"/>
        <v>1</v>
      </c>
      <c r="L52">
        <f t="shared" si="63"/>
        <v>1</v>
      </c>
      <c r="M52">
        <f t="shared" si="63"/>
        <v>1</v>
      </c>
      <c r="O52">
        <f>IF(O44&gt;0,1,0)</f>
        <v>1</v>
      </c>
      <c r="P52">
        <f t="shared" ref="P52:X52" si="64">IF(P44&gt;0,1,0)</f>
        <v>1</v>
      </c>
      <c r="Q52">
        <f t="shared" si="64"/>
        <v>1</v>
      </c>
      <c r="R52">
        <f t="shared" si="64"/>
        <v>1</v>
      </c>
      <c r="S52">
        <f t="shared" si="64"/>
        <v>1</v>
      </c>
      <c r="T52">
        <f t="shared" si="64"/>
        <v>1</v>
      </c>
      <c r="U52">
        <f t="shared" si="64"/>
        <v>1</v>
      </c>
      <c r="V52">
        <f t="shared" si="64"/>
        <v>1</v>
      </c>
      <c r="W52">
        <f t="shared" si="64"/>
        <v>1</v>
      </c>
      <c r="X52">
        <f t="shared" si="64"/>
        <v>1</v>
      </c>
      <c r="Z52">
        <f>IF(Z44&gt;0,1,0)</f>
        <v>1</v>
      </c>
      <c r="AA52">
        <f t="shared" ref="AA52:AI52" si="65">IF(AA44&gt;0,1,0)</f>
        <v>1</v>
      </c>
      <c r="AB52">
        <f t="shared" si="65"/>
        <v>1</v>
      </c>
      <c r="AC52">
        <f t="shared" si="65"/>
        <v>1</v>
      </c>
      <c r="AD52">
        <f t="shared" si="65"/>
        <v>1</v>
      </c>
      <c r="AE52">
        <f t="shared" si="65"/>
        <v>1</v>
      </c>
      <c r="AF52">
        <f t="shared" si="65"/>
        <v>1</v>
      </c>
      <c r="AG52">
        <f t="shared" si="65"/>
        <v>1</v>
      </c>
      <c r="AH52">
        <f t="shared" si="65"/>
        <v>1</v>
      </c>
      <c r="AI52">
        <f t="shared" si="65"/>
        <v>1</v>
      </c>
      <c r="AM52">
        <f>IF(AM44&gt;0,1,0)</f>
        <v>1</v>
      </c>
      <c r="AN52">
        <f t="shared" ref="AN52:AV52" si="66">IF(AN44&gt;0,1,0)</f>
        <v>1</v>
      </c>
      <c r="AO52">
        <f t="shared" si="66"/>
        <v>1</v>
      </c>
      <c r="AP52">
        <f t="shared" si="66"/>
        <v>1</v>
      </c>
      <c r="AQ52">
        <f t="shared" si="66"/>
        <v>1</v>
      </c>
      <c r="AR52">
        <f t="shared" si="66"/>
        <v>1</v>
      </c>
      <c r="AS52">
        <f t="shared" si="66"/>
        <v>1</v>
      </c>
      <c r="AT52">
        <f t="shared" si="66"/>
        <v>1</v>
      </c>
      <c r="AU52">
        <f t="shared" si="66"/>
        <v>1</v>
      </c>
      <c r="AV52">
        <f t="shared" si="66"/>
        <v>0</v>
      </c>
      <c r="AZ52">
        <f>IF(AZ44&gt;0,1,0)</f>
        <v>0</v>
      </c>
      <c r="BA52">
        <f t="shared" ref="BA52:BI52" si="67">IF(BA44&gt;0,1,0)</f>
        <v>0</v>
      </c>
      <c r="BB52">
        <f t="shared" si="67"/>
        <v>0</v>
      </c>
      <c r="BC52">
        <f t="shared" si="67"/>
        <v>0</v>
      </c>
      <c r="BD52">
        <f t="shared" si="67"/>
        <v>0</v>
      </c>
      <c r="BE52">
        <f t="shared" si="67"/>
        <v>0</v>
      </c>
      <c r="BF52">
        <f t="shared" si="67"/>
        <v>0</v>
      </c>
      <c r="BG52">
        <f t="shared" si="67"/>
        <v>0</v>
      </c>
      <c r="BH52">
        <f t="shared" si="67"/>
        <v>0</v>
      </c>
      <c r="BI52">
        <f t="shared" si="67"/>
        <v>0</v>
      </c>
      <c r="BK52" s="13">
        <f>SUM(D52:BI52)</f>
        <v>39</v>
      </c>
    </row>
    <row r="53" spans="1:63" x14ac:dyDescent="0.3">
      <c r="A53" s="1" t="s">
        <v>25</v>
      </c>
      <c r="B53" s="3"/>
      <c r="C53" s="3"/>
      <c r="D53" s="10">
        <f>'[2]Amortisatie schema'!$I$24/1000</f>
        <v>110.58746919429537</v>
      </c>
      <c r="E53" s="10">
        <f>'[2]Amortisatie schema'!$I$36/1000</f>
        <v>116.24533400021321</v>
      </c>
      <c r="F53" s="10">
        <f>'[2]Amortisatie schema'!$I$48/1000</f>
        <v>122.19266590756014</v>
      </c>
      <c r="G53" s="10">
        <f>'[2]Amortisatie schema'!$I$60/1000</f>
        <v>128.44427460261943</v>
      </c>
      <c r="H53" s="10">
        <f>'[2]Amortisatie schema'!$I$72/1000</f>
        <v>135.01572746333196</v>
      </c>
      <c r="I53" s="10">
        <f>'[2]Amortisatie schema'!$I$84/1000</f>
        <v>141.92338832423886</v>
      </c>
      <c r="J53" s="10">
        <f>'[2]Amortisatie schema'!$I$96/1000</f>
        <v>149.18445822471315</v>
      </c>
      <c r="K53" s="10">
        <f>'[2]Amortisatie schema'!$I$108/1000</f>
        <v>156.81701824194761</v>
      </c>
      <c r="L53" s="10">
        <f>'[2]Amortisatie schema'!$I$120/1000</f>
        <v>164.84007451535999</v>
      </c>
      <c r="M53" s="10">
        <f>'[2]Amortisatie schema'!$I$132/1000</f>
        <v>173.27360557453213</v>
      </c>
      <c r="O53" s="10">
        <f>'[2]Amortisatie schema'!$I$144/1000</f>
        <v>182.13861208853606</v>
      </c>
      <c r="P53" s="10">
        <f>'[2]Amortisatie schema'!$I$156/1000</f>
        <v>191.45716916053038</v>
      </c>
      <c r="Q53" s="10">
        <f>'[2]Amortisatie schema'!$I$168/1000</f>
        <v>201.25248129784708</v>
      </c>
      <c r="R53" s="10">
        <f>'[2]Amortisatie schema'!$I$180/1000</f>
        <v>211.548940194453</v>
      </c>
      <c r="S53" s="10">
        <f>'[2]Amortisatie schema'!$I$192/1000</f>
        <v>222.37218546967048</v>
      </c>
      <c r="T53" s="10">
        <f>'[2]Amortisatie schema'!$I$204/1000</f>
        <v>233.74916851440756</v>
      </c>
      <c r="U53" s="10">
        <f>'[2]Amortisatie schema'!$I$216/1000</f>
        <v>245.70821960388173</v>
      </c>
      <c r="V53" s="10">
        <f>'[2]Amortisatie schema'!$I$228/1000</f>
        <v>258.27911844395805</v>
      </c>
      <c r="W53" s="10">
        <f>'[2]Amortisatie schema'!$I$240/1000</f>
        <v>271.49316832677187</v>
      </c>
      <c r="X53" s="10">
        <f>'[2]Amortisatie schema'!$I$252/1000</f>
        <v>285.38327408029437</v>
      </c>
      <c r="Z53" s="10">
        <f>'[2]Amortisatie schema'!$I$264/1000</f>
        <v>299.98402400594506</v>
      </c>
      <c r="AA53" s="10">
        <f>'[2]Amortisatie schema'!$I$276/1000</f>
        <v>315.33177600828861</v>
      </c>
      <c r="AB53" s="10">
        <f>'[2]Amortisatie schema'!$I$288/1000</f>
        <v>331.46474813129021</v>
      </c>
      <c r="AC53" s="10">
        <f>'[2]Amortisatie schema'!$I$300/1000</f>
        <v>348.4231137265777</v>
      </c>
      <c r="AD53" s="10">
        <f>'[2]Amortisatie schema'!$I$312/1000</f>
        <v>366.24910149069245</v>
      </c>
      <c r="AE53" s="10">
        <f>'[2]Amortisatie schema'!$I$324/1000</f>
        <v>384.98710062043568</v>
      </c>
      <c r="AF53" s="10">
        <f>'[2]Amortisatie schema'!$I$336/1000</f>
        <v>404.68377134816302</v>
      </c>
      <c r="AG53" s="10">
        <f>'[2]Amortisatie schema'!$I$348/1000</f>
        <v>425.38816113227239</v>
      </c>
      <c r="AH53" s="10">
        <f>'[2]Amortisatie schema'!$I$360/1000</f>
        <v>447.15182679221994</v>
      </c>
      <c r="AI53" s="10">
        <f>'[2]Amortisatie schema'!$I$372/1000</f>
        <v>470.02896289219393</v>
      </c>
      <c r="AK53" s="3">
        <f>SUM(D53:AI53)</f>
        <v>7495.5989393772425</v>
      </c>
      <c r="AM53" s="10">
        <f>'[2]Amortisatie schema'!$I$384/1000</f>
        <v>494.07653669314141</v>
      </c>
      <c r="AN53" s="10">
        <f>'[2]Amortisatie schema'!$I$396/1000</f>
        <v>519.35443000919622</v>
      </c>
      <c r="AO53" s="10">
        <f>'[2]Amortisatie schema'!$I$408/1000</f>
        <v>545.92558832175246</v>
      </c>
      <c r="AP53" s="10">
        <f>'[2]Amortisatie schema'!$I$420/1000</f>
        <v>573.85617752249516</v>
      </c>
      <c r="AQ53" s="10">
        <f>'[2]Amortisatie schema'!$I$432/1000</f>
        <v>603.21574867570257</v>
      </c>
      <c r="AR53" s="10">
        <f>'[2]Amortisatie schema'!$I$444/1000</f>
        <v>634.07741121010213</v>
      </c>
      <c r="AS53" s="10">
        <f>'[2]Amortisatie schema'!$I$456/1000</f>
        <v>666.51801497154713</v>
      </c>
      <c r="AT53" s="10">
        <f>'[2]Amortisatie schema'!$I$468/1000</f>
        <v>700.61834158985698</v>
      </c>
      <c r="AU53" s="10">
        <f>'[2]Amortisatie schema'!$I$480/1000</f>
        <v>736.4633056363466</v>
      </c>
      <c r="AV53" s="10">
        <f>'[2]Amortisatie schema'!$I$492/1000</f>
        <v>774.14216607295691</v>
      </c>
      <c r="AX53" s="3">
        <f>AK53+SUM(AM53:AV53)</f>
        <v>13743.84666008034</v>
      </c>
      <c r="AZ53" s="10">
        <f>'[2]Amortisatie schema'!$I$504/1000</f>
        <v>813.74874851952518</v>
      </c>
      <c r="BA53" s="10">
        <f>'[2]Amortisatie schema'!$I$516/1000</f>
        <v>855.38167889266958</v>
      </c>
      <c r="BB53" s="10">
        <f>'[2]Amortisatie schema'!$I$528/1000</f>
        <v>899.14462899808166</v>
      </c>
      <c r="BC53" s="10">
        <f>'[2]Amortisatie schema'!$I$540/1000</f>
        <v>945.14657468779035</v>
      </c>
      <c r="BD53" s="10">
        <f>'[2]Amortisatie schema'!$I$552/1000</f>
        <v>993.50206722523694</v>
      </c>
      <c r="BE53" s="10">
        <f>'[2]Amortisatie schema'!$I$564/1000</f>
        <v>1044.3315185339054</v>
      </c>
      <c r="BF53" s="10">
        <f>'[2]Amortisatie schema'!$I$576/1000</f>
        <v>1097.7615010398124</v>
      </c>
      <c r="BG53" s="10">
        <f>'[2]Amortisatie schema'!$I$588/1000</f>
        <v>1153.9250628545094</v>
      </c>
      <c r="BH53" s="10">
        <f>'[2]Amortisatie schema'!$I$600/1000</f>
        <v>1212.9620590834443</v>
      </c>
      <c r="BI53" s="10">
        <f>'[2]Amortisatie schema'!$I$612/1000</f>
        <v>1275.0195000846884</v>
      </c>
      <c r="BK53" s="3">
        <f>AX53+SUM(AZ53:BI53)</f>
        <v>24034.770000000004</v>
      </c>
    </row>
    <row r="54" spans="1:63" x14ac:dyDescent="0.3">
      <c r="A54" t="s">
        <v>27</v>
      </c>
      <c r="D54" s="8">
        <f t="shared" ref="D54:M54" si="68">C54+D53</f>
        <v>110.58746919429537</v>
      </c>
      <c r="E54" s="8">
        <f t="shared" si="68"/>
        <v>226.83280319450859</v>
      </c>
      <c r="F54" s="8">
        <f t="shared" si="68"/>
        <v>349.02546910206871</v>
      </c>
      <c r="G54" s="8">
        <f t="shared" si="68"/>
        <v>477.46974370468814</v>
      </c>
      <c r="H54" s="8">
        <f t="shared" si="68"/>
        <v>612.48547116802013</v>
      </c>
      <c r="I54" s="8">
        <f t="shared" si="68"/>
        <v>754.40885949225901</v>
      </c>
      <c r="J54" s="8">
        <f t="shared" si="68"/>
        <v>903.59331771697214</v>
      </c>
      <c r="K54" s="8">
        <f t="shared" si="68"/>
        <v>1060.4103359589199</v>
      </c>
      <c r="L54" s="8">
        <f t="shared" si="68"/>
        <v>1225.2504104742798</v>
      </c>
      <c r="M54" s="8">
        <f t="shared" si="68"/>
        <v>1398.524016048812</v>
      </c>
      <c r="O54" s="8">
        <f>M54+O53</f>
        <v>1580.6626281373481</v>
      </c>
      <c r="P54" s="8">
        <f t="shared" ref="P54:X54" si="69">O54+P53</f>
        <v>1772.1197972978784</v>
      </c>
      <c r="Q54" s="8">
        <f t="shared" si="69"/>
        <v>1973.3722785957254</v>
      </c>
      <c r="R54" s="8">
        <f t="shared" si="69"/>
        <v>2184.9212187901785</v>
      </c>
      <c r="S54" s="8">
        <f t="shared" si="69"/>
        <v>2407.293404259849</v>
      </c>
      <c r="T54" s="8">
        <f t="shared" si="69"/>
        <v>2641.0425727742568</v>
      </c>
      <c r="U54" s="8">
        <f t="shared" si="69"/>
        <v>2886.7507923781386</v>
      </c>
      <c r="V54" s="8">
        <f t="shared" si="69"/>
        <v>3145.0299108220966</v>
      </c>
      <c r="W54" s="8">
        <f t="shared" si="69"/>
        <v>3416.5230791488684</v>
      </c>
      <c r="X54" s="8">
        <f t="shared" si="69"/>
        <v>3701.906353229163</v>
      </c>
      <c r="Z54" s="8">
        <f>X54+Z53</f>
        <v>4001.8903772351082</v>
      </c>
      <c r="AA54" s="8">
        <f t="shared" ref="AA54:AI54" si="70">Z54+AA53</f>
        <v>4317.2221532433969</v>
      </c>
      <c r="AB54" s="8">
        <f t="shared" si="70"/>
        <v>4648.6869013746873</v>
      </c>
      <c r="AC54" s="8">
        <f t="shared" si="70"/>
        <v>4997.1100151012652</v>
      </c>
      <c r="AD54" s="8">
        <f t="shared" si="70"/>
        <v>5363.3591165919579</v>
      </c>
      <c r="AE54" s="8">
        <f t="shared" si="70"/>
        <v>5748.3462172123936</v>
      </c>
      <c r="AF54" s="8">
        <f t="shared" si="70"/>
        <v>6153.0299885605564</v>
      </c>
      <c r="AG54" s="8">
        <f t="shared" si="70"/>
        <v>6578.4181496928286</v>
      </c>
      <c r="AH54" s="8">
        <f t="shared" si="70"/>
        <v>7025.5699764850488</v>
      </c>
      <c r="AI54" s="8">
        <f t="shared" si="70"/>
        <v>7495.5989393772425</v>
      </c>
      <c r="AM54" s="8">
        <f>AI54+AM53</f>
        <v>7989.6754760703843</v>
      </c>
      <c r="AN54" s="8">
        <f t="shared" ref="AN54:AV54" si="71">AM54+AN53</f>
        <v>8509.0299060795805</v>
      </c>
      <c r="AO54" s="8">
        <f t="shared" si="71"/>
        <v>9054.9554944013325</v>
      </c>
      <c r="AP54" s="8">
        <f t="shared" si="71"/>
        <v>9628.8116719238278</v>
      </c>
      <c r="AQ54" s="8">
        <f t="shared" si="71"/>
        <v>10232.02742059953</v>
      </c>
      <c r="AR54" s="8">
        <f t="shared" si="71"/>
        <v>10866.104831809633</v>
      </c>
      <c r="AS54" s="8">
        <f t="shared" si="71"/>
        <v>11532.62284678118</v>
      </c>
      <c r="AT54" s="8">
        <f t="shared" si="71"/>
        <v>12233.241188371037</v>
      </c>
      <c r="AU54" s="8">
        <f t="shared" si="71"/>
        <v>12969.704494007385</v>
      </c>
      <c r="AV54" s="8">
        <f t="shared" si="71"/>
        <v>13743.846660080342</v>
      </c>
      <c r="AZ54" s="8">
        <f>AV54+AZ53</f>
        <v>14557.595408599867</v>
      </c>
      <c r="BA54" s="8">
        <f t="shared" ref="BA54:BI54" si="72">AZ54+BA53</f>
        <v>15412.977087492536</v>
      </c>
      <c r="BB54" s="8">
        <f t="shared" si="72"/>
        <v>16312.121716490617</v>
      </c>
      <c r="BC54" s="8">
        <f t="shared" si="72"/>
        <v>17257.268291178407</v>
      </c>
      <c r="BD54" s="8">
        <f t="shared" si="72"/>
        <v>18250.770358403643</v>
      </c>
      <c r="BE54" s="8">
        <f t="shared" si="72"/>
        <v>19295.101876937548</v>
      </c>
      <c r="BF54" s="8">
        <f t="shared" si="72"/>
        <v>20392.863377977359</v>
      </c>
      <c r="BG54" s="8">
        <f t="shared" si="72"/>
        <v>21546.788440831868</v>
      </c>
      <c r="BH54" s="8">
        <f t="shared" si="72"/>
        <v>22759.750499915313</v>
      </c>
      <c r="BI54" s="8">
        <f t="shared" si="72"/>
        <v>24034.77</v>
      </c>
    </row>
    <row r="55" spans="1:63" x14ac:dyDescent="0.3">
      <c r="A55" t="s">
        <v>28</v>
      </c>
      <c r="D55" s="8">
        <f t="shared" ref="D55:M55" si="73">C55+D43</f>
        <v>0</v>
      </c>
      <c r="E55" s="8">
        <f t="shared" si="73"/>
        <v>0</v>
      </c>
      <c r="F55" s="8">
        <f t="shared" si="73"/>
        <v>0</v>
      </c>
      <c r="G55" s="8">
        <f t="shared" si="73"/>
        <v>0</v>
      </c>
      <c r="H55" s="8">
        <f t="shared" si="73"/>
        <v>0</v>
      </c>
      <c r="I55" s="8">
        <f t="shared" si="73"/>
        <v>0</v>
      </c>
      <c r="J55" s="8">
        <f t="shared" si="73"/>
        <v>0</v>
      </c>
      <c r="K55" s="8">
        <f t="shared" si="73"/>
        <v>0</v>
      </c>
      <c r="L55" s="8">
        <f t="shared" si="73"/>
        <v>0</v>
      </c>
      <c r="M55" s="8">
        <f t="shared" si="73"/>
        <v>0</v>
      </c>
      <c r="O55" s="8">
        <f>M55+O43</f>
        <v>0</v>
      </c>
      <c r="P55" s="8">
        <f t="shared" ref="P55:X55" si="74">O55+P43</f>
        <v>0</v>
      </c>
      <c r="Q55" s="8">
        <f t="shared" si="74"/>
        <v>0</v>
      </c>
      <c r="R55" s="8">
        <f t="shared" si="74"/>
        <v>0</v>
      </c>
      <c r="S55" s="8">
        <f t="shared" si="74"/>
        <v>250</v>
      </c>
      <c r="T55" s="8">
        <f t="shared" si="74"/>
        <v>500</v>
      </c>
      <c r="U55" s="8">
        <f t="shared" si="74"/>
        <v>500</v>
      </c>
      <c r="V55" s="8">
        <f t="shared" si="74"/>
        <v>750</v>
      </c>
      <c r="W55" s="8">
        <f t="shared" si="74"/>
        <v>1000</v>
      </c>
      <c r="X55" s="8">
        <f t="shared" si="74"/>
        <v>1250</v>
      </c>
      <c r="Z55" s="8">
        <f>X55+Z43</f>
        <v>1500</v>
      </c>
      <c r="AA55" s="8">
        <f t="shared" ref="AA55:AI55" si="75">Z55+AA43</f>
        <v>2000</v>
      </c>
      <c r="AB55" s="8">
        <f t="shared" si="75"/>
        <v>2500</v>
      </c>
      <c r="AC55" s="8">
        <f t="shared" si="75"/>
        <v>3250</v>
      </c>
      <c r="AD55" s="8">
        <f t="shared" si="75"/>
        <v>3750</v>
      </c>
      <c r="AE55" s="8">
        <f t="shared" si="75"/>
        <v>4500</v>
      </c>
      <c r="AF55" s="8">
        <f t="shared" si="75"/>
        <v>5250</v>
      </c>
      <c r="AG55" s="8">
        <f t="shared" si="75"/>
        <v>6000</v>
      </c>
      <c r="AH55" s="8">
        <f t="shared" si="75"/>
        <v>7000</v>
      </c>
      <c r="AI55" s="8">
        <f t="shared" si="75"/>
        <v>8000</v>
      </c>
      <c r="AM55" s="8">
        <f>AI55+AM43</f>
        <v>9000</v>
      </c>
      <c r="AN55" s="8">
        <f t="shared" ref="AN55:AV55" si="76">AM55+AN43</f>
        <v>10500</v>
      </c>
      <c r="AO55" s="8">
        <f t="shared" si="76"/>
        <v>11500</v>
      </c>
      <c r="AP55" s="8">
        <f t="shared" si="76"/>
        <v>13250</v>
      </c>
      <c r="AQ55" s="8">
        <f t="shared" si="76"/>
        <v>15000</v>
      </c>
      <c r="AR55" s="8">
        <f t="shared" si="76"/>
        <v>16750</v>
      </c>
      <c r="AS55" s="8">
        <f t="shared" si="76"/>
        <v>18500</v>
      </c>
      <c r="AT55" s="8">
        <f t="shared" si="76"/>
        <v>20250</v>
      </c>
      <c r="AU55" s="8">
        <f t="shared" si="76"/>
        <v>22750</v>
      </c>
      <c r="AV55" s="8">
        <f t="shared" si="76"/>
        <v>24034.77</v>
      </c>
      <c r="AZ55" s="8">
        <f>AV55+AZ43</f>
        <v>24034.77</v>
      </c>
      <c r="BA55" s="8">
        <f t="shared" ref="BA55:BI55" si="77">AZ55+BA43</f>
        <v>24034.77</v>
      </c>
      <c r="BB55" s="8">
        <f t="shared" si="77"/>
        <v>24034.77</v>
      </c>
      <c r="BC55" s="8">
        <f t="shared" si="77"/>
        <v>24034.77</v>
      </c>
      <c r="BD55" s="8">
        <f t="shared" si="77"/>
        <v>24034.77</v>
      </c>
      <c r="BE55" s="8">
        <f t="shared" si="77"/>
        <v>24034.77</v>
      </c>
      <c r="BF55" s="8">
        <f t="shared" si="77"/>
        <v>24034.77</v>
      </c>
      <c r="BG55" s="8">
        <f t="shared" si="77"/>
        <v>24034.77</v>
      </c>
      <c r="BH55" s="8">
        <f t="shared" si="77"/>
        <v>24034.77</v>
      </c>
      <c r="BI55" s="8">
        <f t="shared" si="77"/>
        <v>24034.77</v>
      </c>
    </row>
    <row r="56" spans="1:63" x14ac:dyDescent="0.3">
      <c r="A56" s="1" t="s">
        <v>26</v>
      </c>
      <c r="B56" s="3"/>
      <c r="C56" s="3"/>
      <c r="D56" s="10">
        <f t="shared" ref="D56:M56" si="78">D54-D55</f>
        <v>110.58746919429537</v>
      </c>
      <c r="E56" s="10">
        <f t="shared" si="78"/>
        <v>226.83280319450859</v>
      </c>
      <c r="F56" s="10">
        <f t="shared" si="78"/>
        <v>349.02546910206871</v>
      </c>
      <c r="G56" s="10">
        <f t="shared" si="78"/>
        <v>477.46974370468814</v>
      </c>
      <c r="H56" s="10">
        <f t="shared" si="78"/>
        <v>612.48547116802013</v>
      </c>
      <c r="I56" s="10">
        <f t="shared" si="78"/>
        <v>754.40885949225901</v>
      </c>
      <c r="J56" s="10">
        <f t="shared" si="78"/>
        <v>903.59331771697214</v>
      </c>
      <c r="K56" s="10">
        <f t="shared" si="78"/>
        <v>1060.4103359589199</v>
      </c>
      <c r="L56" s="10">
        <f t="shared" si="78"/>
        <v>1225.2504104742798</v>
      </c>
      <c r="M56" s="10">
        <f t="shared" si="78"/>
        <v>1398.524016048812</v>
      </c>
      <c r="O56" s="10">
        <f t="shared" ref="O56:X56" si="79">O54-O55</f>
        <v>1580.6626281373481</v>
      </c>
      <c r="P56" s="10">
        <f t="shared" si="79"/>
        <v>1772.1197972978784</v>
      </c>
      <c r="Q56" s="10">
        <f t="shared" si="79"/>
        <v>1973.3722785957254</v>
      </c>
      <c r="R56" s="10">
        <f t="shared" si="79"/>
        <v>2184.9212187901785</v>
      </c>
      <c r="S56" s="10">
        <f t="shared" si="79"/>
        <v>2157.293404259849</v>
      </c>
      <c r="T56" s="10">
        <f t="shared" si="79"/>
        <v>2141.0425727742568</v>
      </c>
      <c r="U56" s="10">
        <f t="shared" si="79"/>
        <v>2386.7507923781386</v>
      </c>
      <c r="V56" s="10">
        <f t="shared" si="79"/>
        <v>2395.0299108220966</v>
      </c>
      <c r="W56" s="10">
        <f t="shared" si="79"/>
        <v>2416.5230791488684</v>
      </c>
      <c r="X56" s="10">
        <f t="shared" si="79"/>
        <v>2451.906353229163</v>
      </c>
      <c r="Z56" s="10">
        <f t="shared" ref="Z56:AI56" si="80">Z54-Z55</f>
        <v>2501.8903772351082</v>
      </c>
      <c r="AA56" s="10">
        <f t="shared" si="80"/>
        <v>2317.2221532433969</v>
      </c>
      <c r="AB56" s="10">
        <f t="shared" si="80"/>
        <v>2148.6869013746873</v>
      </c>
      <c r="AC56" s="10">
        <f t="shared" si="80"/>
        <v>1747.1100151012652</v>
      </c>
      <c r="AD56" s="10">
        <f t="shared" si="80"/>
        <v>1613.3591165919579</v>
      </c>
      <c r="AE56" s="10">
        <f t="shared" si="80"/>
        <v>1248.3462172123936</v>
      </c>
      <c r="AF56" s="10">
        <f t="shared" si="80"/>
        <v>903.02998856055638</v>
      </c>
      <c r="AG56" s="10">
        <f t="shared" si="80"/>
        <v>578.41814969282859</v>
      </c>
      <c r="AH56" s="10">
        <f t="shared" si="80"/>
        <v>25.569976485048755</v>
      </c>
      <c r="AI56" s="10">
        <f t="shared" si="80"/>
        <v>-504.40106062275754</v>
      </c>
      <c r="AK56" s="3"/>
      <c r="AM56" s="10">
        <f t="shared" ref="AM56:AV56" si="81">AM54-AM55</f>
        <v>-1010.3245239296157</v>
      </c>
      <c r="AN56" s="10">
        <f t="shared" si="81"/>
        <v>-1990.9700939204195</v>
      </c>
      <c r="AO56" s="10">
        <f t="shared" si="81"/>
        <v>-2445.0445055986675</v>
      </c>
      <c r="AP56" s="10">
        <f t="shared" si="81"/>
        <v>-3621.1883280761722</v>
      </c>
      <c r="AQ56" s="10">
        <f t="shared" si="81"/>
        <v>-4767.9725794004698</v>
      </c>
      <c r="AR56" s="10">
        <f t="shared" si="81"/>
        <v>-5883.8951681903673</v>
      </c>
      <c r="AS56" s="10">
        <f t="shared" si="81"/>
        <v>-6967.3771532188202</v>
      </c>
      <c r="AT56" s="10">
        <f t="shared" si="81"/>
        <v>-8016.7588116289626</v>
      </c>
      <c r="AU56" s="10">
        <f t="shared" si="81"/>
        <v>-9780.2955059926153</v>
      </c>
      <c r="AV56" s="10">
        <f t="shared" si="81"/>
        <v>-10290.923339919658</v>
      </c>
      <c r="AX56" s="3"/>
      <c r="AZ56" s="10">
        <f t="shared" ref="AZ56:BI56" si="82">AZ54-AZ55</f>
        <v>-9477.1745914001331</v>
      </c>
      <c r="BA56" s="10">
        <f t="shared" si="82"/>
        <v>-8621.7929125074643</v>
      </c>
      <c r="BB56" s="10">
        <f t="shared" si="82"/>
        <v>-7722.648283509383</v>
      </c>
      <c r="BC56" s="10">
        <f t="shared" si="82"/>
        <v>-6777.5017088215936</v>
      </c>
      <c r="BD56" s="10">
        <f t="shared" si="82"/>
        <v>-5783.9996415963578</v>
      </c>
      <c r="BE56" s="10">
        <f t="shared" si="82"/>
        <v>-4739.6681230624527</v>
      </c>
      <c r="BF56" s="10">
        <f t="shared" si="82"/>
        <v>-3641.9066220226414</v>
      </c>
      <c r="BG56" s="10">
        <f t="shared" si="82"/>
        <v>-2487.9815591681327</v>
      </c>
      <c r="BH56" s="10">
        <f t="shared" si="82"/>
        <v>-1275.019500084687</v>
      </c>
      <c r="BI56" s="10">
        <f t="shared" si="82"/>
        <v>0</v>
      </c>
      <c r="BK56" s="3"/>
    </row>
    <row r="58" spans="1:63" x14ac:dyDescent="0.3">
      <c r="A58" t="s">
        <v>39</v>
      </c>
      <c r="D58" s="40">
        <f>1+$B$9</f>
        <v>1.0249999999999999</v>
      </c>
      <c r="E58" s="40">
        <f t="shared" ref="E58:M58" si="83">D58*(1+$B$9)</f>
        <v>1.0506249999999999</v>
      </c>
      <c r="F58" s="40">
        <f t="shared" si="83"/>
        <v>1.0768906249999999</v>
      </c>
      <c r="G58" s="40">
        <f t="shared" si="83"/>
        <v>1.1038128906249998</v>
      </c>
      <c r="H58" s="40">
        <f t="shared" si="83"/>
        <v>1.1314082128906247</v>
      </c>
      <c r="I58" s="40">
        <f t="shared" si="83"/>
        <v>1.1596934182128902</v>
      </c>
      <c r="J58" s="40">
        <f t="shared" si="83"/>
        <v>1.1886857536682123</v>
      </c>
      <c r="K58" s="40">
        <f t="shared" si="83"/>
        <v>1.2184028975099175</v>
      </c>
      <c r="L58" s="40">
        <f t="shared" si="83"/>
        <v>1.2488629699476652</v>
      </c>
      <c r="M58" s="40">
        <f t="shared" si="83"/>
        <v>1.2800845441963566</v>
      </c>
      <c r="O58" s="40">
        <f>M58*(1+$B$9)</f>
        <v>1.3120866578012655</v>
      </c>
      <c r="P58" s="40">
        <f t="shared" ref="P58:X58" si="84">O58*(1+$B$9)</f>
        <v>1.3448888242462971</v>
      </c>
      <c r="Q58" s="40">
        <f t="shared" si="84"/>
        <v>1.3785110448524545</v>
      </c>
      <c r="R58" s="40">
        <f t="shared" si="84"/>
        <v>1.4129738209737657</v>
      </c>
      <c r="S58" s="40">
        <f t="shared" si="84"/>
        <v>1.4482981664981096</v>
      </c>
      <c r="T58" s="40">
        <f t="shared" si="84"/>
        <v>1.4845056206605622</v>
      </c>
      <c r="U58" s="40">
        <f t="shared" si="84"/>
        <v>1.5216182611770761</v>
      </c>
      <c r="V58" s="40">
        <f t="shared" si="84"/>
        <v>1.5596587177065029</v>
      </c>
      <c r="W58" s="40">
        <f t="shared" si="84"/>
        <v>1.5986501856491653</v>
      </c>
      <c r="X58" s="40">
        <f t="shared" si="84"/>
        <v>1.6386164402903942</v>
      </c>
      <c r="Z58" s="40">
        <f>X58*(1+$B$9)</f>
        <v>1.6795818512976539</v>
      </c>
      <c r="AA58" s="40">
        <f t="shared" ref="AA58:AI58" si="85">Z58*(1+$B$9)</f>
        <v>1.721571397580095</v>
      </c>
      <c r="AB58" s="40">
        <f t="shared" si="85"/>
        <v>1.7646106825195973</v>
      </c>
      <c r="AC58" s="40">
        <f t="shared" si="85"/>
        <v>1.8087259495825871</v>
      </c>
      <c r="AD58" s="40">
        <f t="shared" si="85"/>
        <v>1.8539440983221516</v>
      </c>
      <c r="AE58" s="40">
        <f t="shared" si="85"/>
        <v>1.9002927007802053</v>
      </c>
      <c r="AF58" s="40">
        <f t="shared" si="85"/>
        <v>1.9478000182997102</v>
      </c>
      <c r="AG58" s="40">
        <f t="shared" si="85"/>
        <v>1.9964950187572028</v>
      </c>
      <c r="AH58" s="40">
        <f t="shared" si="85"/>
        <v>2.0464073942261325</v>
      </c>
      <c r="AI58" s="40">
        <f t="shared" si="85"/>
        <v>2.0975675790817858</v>
      </c>
      <c r="AM58" s="40">
        <f>AI58*(1+$B$9)</f>
        <v>2.1500067685588302</v>
      </c>
      <c r="AN58" s="40">
        <f t="shared" ref="AN58:AV58" si="86">AM58*(1+$B$9)</f>
        <v>2.2037569377728006</v>
      </c>
      <c r="AO58" s="40">
        <f t="shared" si="86"/>
        <v>2.2588508612171205</v>
      </c>
      <c r="AP58" s="40">
        <f t="shared" si="86"/>
        <v>2.3153221327475482</v>
      </c>
      <c r="AQ58" s="40">
        <f t="shared" si="86"/>
        <v>2.3732051860662366</v>
      </c>
      <c r="AR58" s="40">
        <f t="shared" si="86"/>
        <v>2.4325353157178924</v>
      </c>
      <c r="AS58" s="40">
        <f t="shared" si="86"/>
        <v>2.4933486986108395</v>
      </c>
      <c r="AT58" s="40">
        <f t="shared" si="86"/>
        <v>2.5556824160761105</v>
      </c>
      <c r="AU58" s="40">
        <f t="shared" si="86"/>
        <v>2.6195744764780131</v>
      </c>
      <c r="AV58" s="40">
        <f t="shared" si="86"/>
        <v>2.6850638383899632</v>
      </c>
      <c r="AZ58" s="40">
        <f>AV58*(1+$B$9)</f>
        <v>2.7521904343497119</v>
      </c>
      <c r="BA58" s="40">
        <f t="shared" ref="BA58:BI58" si="87">AZ58*(1+$B$9)</f>
        <v>2.8209951952084547</v>
      </c>
      <c r="BB58" s="40">
        <f t="shared" si="87"/>
        <v>2.8915200750886658</v>
      </c>
      <c r="BC58" s="40">
        <f t="shared" si="87"/>
        <v>2.9638080769658823</v>
      </c>
      <c r="BD58" s="40">
        <f t="shared" si="87"/>
        <v>3.0379032788900293</v>
      </c>
      <c r="BE58" s="40">
        <f t="shared" si="87"/>
        <v>3.1138508608622799</v>
      </c>
      <c r="BF58" s="40">
        <f t="shared" si="87"/>
        <v>3.1916971323838368</v>
      </c>
      <c r="BG58" s="40">
        <f t="shared" si="87"/>
        <v>3.2714895606934324</v>
      </c>
      <c r="BH58" s="40">
        <f t="shared" si="87"/>
        <v>3.353276799710768</v>
      </c>
      <c r="BI58" s="40">
        <f t="shared" si="87"/>
        <v>3.437108719703537</v>
      </c>
    </row>
    <row r="59" spans="1:63" x14ac:dyDescent="0.3">
      <c r="A59" t="s">
        <v>43</v>
      </c>
      <c r="C59">
        <v>1</v>
      </c>
      <c r="D59" s="40">
        <f>1+$B$10</f>
        <v>1.03</v>
      </c>
      <c r="E59" s="40">
        <f t="shared" ref="E59:M59" si="88">D59*(1+$B$10)</f>
        <v>1.0609</v>
      </c>
      <c r="F59" s="40">
        <f t="shared" si="88"/>
        <v>1.092727</v>
      </c>
      <c r="G59" s="40">
        <f t="shared" si="88"/>
        <v>1.1255088100000001</v>
      </c>
      <c r="H59" s="40">
        <f t="shared" si="88"/>
        <v>1.1592740743000001</v>
      </c>
      <c r="I59" s="40">
        <f t="shared" si="88"/>
        <v>1.1940522965290001</v>
      </c>
      <c r="J59" s="40">
        <f t="shared" si="88"/>
        <v>1.2298738654248702</v>
      </c>
      <c r="K59" s="40">
        <f t="shared" si="88"/>
        <v>1.2667700813876164</v>
      </c>
      <c r="L59" s="40">
        <f t="shared" si="88"/>
        <v>1.3047731838292449</v>
      </c>
      <c r="M59" s="40">
        <f t="shared" si="88"/>
        <v>1.3439163793441222</v>
      </c>
      <c r="O59" s="40">
        <f>M59*(1+$B$10)</f>
        <v>1.3842338707244459</v>
      </c>
      <c r="P59" s="40">
        <f t="shared" ref="P59:X59" si="89">O59*(1+$B$10)</f>
        <v>1.4257608868461793</v>
      </c>
      <c r="Q59" s="40">
        <f t="shared" si="89"/>
        <v>1.4685337134515648</v>
      </c>
      <c r="R59" s="40">
        <f t="shared" si="89"/>
        <v>1.5125897248551119</v>
      </c>
      <c r="S59" s="40">
        <f t="shared" si="89"/>
        <v>1.5579674166007653</v>
      </c>
      <c r="T59" s="40">
        <f t="shared" si="89"/>
        <v>1.6047064390987884</v>
      </c>
      <c r="U59" s="40">
        <f t="shared" si="89"/>
        <v>1.652847632271752</v>
      </c>
      <c r="V59" s="40">
        <f t="shared" si="89"/>
        <v>1.7024330612399046</v>
      </c>
      <c r="W59" s="40">
        <f t="shared" si="89"/>
        <v>1.7535060530771018</v>
      </c>
      <c r="X59" s="40">
        <f t="shared" si="89"/>
        <v>1.806111234669415</v>
      </c>
      <c r="Z59" s="40">
        <f>X59*(1+$B$10)</f>
        <v>1.8602945717094976</v>
      </c>
      <c r="AA59" s="40">
        <f t="shared" ref="AA59:AI59" si="90">Z59*(1+$B$10)</f>
        <v>1.9161034088607827</v>
      </c>
      <c r="AB59" s="40">
        <f t="shared" si="90"/>
        <v>1.9735865111266062</v>
      </c>
      <c r="AC59" s="40">
        <f t="shared" si="90"/>
        <v>2.0327941064604045</v>
      </c>
      <c r="AD59" s="40">
        <f t="shared" si="90"/>
        <v>2.0937779296542165</v>
      </c>
      <c r="AE59" s="40">
        <f t="shared" si="90"/>
        <v>2.1565912675438432</v>
      </c>
      <c r="AF59" s="40">
        <f t="shared" si="90"/>
        <v>2.2212890055701586</v>
      </c>
      <c r="AG59" s="40">
        <f t="shared" si="90"/>
        <v>2.2879276757372633</v>
      </c>
      <c r="AH59" s="40">
        <f t="shared" si="90"/>
        <v>2.3565655060093813</v>
      </c>
      <c r="AI59" s="40">
        <f t="shared" si="90"/>
        <v>2.4272624711896627</v>
      </c>
      <c r="AM59" s="40">
        <f>AI59*(1+$B$10)</f>
        <v>2.5000803453253524</v>
      </c>
      <c r="AN59" s="40">
        <f t="shared" ref="AN59:AV59" si="91">AM59*(1+$B$10)</f>
        <v>2.5750827556851132</v>
      </c>
      <c r="AO59" s="40">
        <f t="shared" si="91"/>
        <v>2.6523352383556666</v>
      </c>
      <c r="AP59" s="40">
        <f t="shared" si="91"/>
        <v>2.7319052955063365</v>
      </c>
      <c r="AQ59" s="40">
        <f t="shared" si="91"/>
        <v>2.8138624543715265</v>
      </c>
      <c r="AR59" s="40">
        <f t="shared" si="91"/>
        <v>2.8982783280026725</v>
      </c>
      <c r="AS59" s="40">
        <f t="shared" si="91"/>
        <v>2.9852266778427525</v>
      </c>
      <c r="AT59" s="40">
        <f t="shared" si="91"/>
        <v>3.074783478178035</v>
      </c>
      <c r="AU59" s="40">
        <f t="shared" si="91"/>
        <v>3.1670269825233763</v>
      </c>
      <c r="AV59" s="40">
        <f t="shared" si="91"/>
        <v>3.2620377919990777</v>
      </c>
      <c r="AZ59" s="40">
        <f>AV59*(1+$B$10)</f>
        <v>3.3598989257590501</v>
      </c>
      <c r="BA59" s="40">
        <f t="shared" ref="BA59:BI59" si="92">AZ59*(1+$B$10)</f>
        <v>3.4606958935318217</v>
      </c>
      <c r="BB59" s="40">
        <f t="shared" si="92"/>
        <v>3.5645167703377765</v>
      </c>
      <c r="BC59" s="40">
        <f t="shared" si="92"/>
        <v>3.67145227344791</v>
      </c>
      <c r="BD59" s="40">
        <f t="shared" si="92"/>
        <v>3.7815958416513475</v>
      </c>
      <c r="BE59" s="40">
        <f t="shared" si="92"/>
        <v>3.8950437169008882</v>
      </c>
      <c r="BF59" s="40">
        <f t="shared" si="92"/>
        <v>4.0118950284079151</v>
      </c>
      <c r="BG59" s="40">
        <f t="shared" si="92"/>
        <v>4.1322518792601528</v>
      </c>
      <c r="BH59" s="40">
        <f t="shared" si="92"/>
        <v>4.2562194356379575</v>
      </c>
      <c r="BI59" s="40">
        <f t="shared" si="92"/>
        <v>4.383906018707096</v>
      </c>
    </row>
    <row r="61" spans="1:63" x14ac:dyDescent="0.3">
      <c r="A61" t="s">
        <v>37</v>
      </c>
      <c r="B61">
        <v>1218.57870719678</v>
      </c>
      <c r="D61">
        <v>1243.1577679392581</v>
      </c>
      <c r="E61">
        <v>1183.5532677295248</v>
      </c>
      <c r="F61">
        <v>1304.1028668015911</v>
      </c>
      <c r="G61">
        <v>658.42126384707512</v>
      </c>
      <c r="H61">
        <v>349.03256852999311</v>
      </c>
      <c r="I61">
        <v>360.04706677306933</v>
      </c>
      <c r="J61">
        <v>208.94464409370366</v>
      </c>
      <c r="K61">
        <v>229.52773552473496</v>
      </c>
      <c r="L61">
        <v>323.0035892682165</v>
      </c>
      <c r="M61">
        <v>224.21059834325268</v>
      </c>
      <c r="O61">
        <v>343.3416288436436</v>
      </c>
      <c r="P61">
        <v>552.70163037611383</v>
      </c>
      <c r="Q61">
        <v>354.26824947151329</v>
      </c>
      <c r="R61">
        <v>436.76389981808001</v>
      </c>
      <c r="S61">
        <v>615.36965637983212</v>
      </c>
      <c r="T61">
        <v>507.86131600372119</v>
      </c>
      <c r="U61">
        <v>564.56577709475619</v>
      </c>
      <c r="V61">
        <v>572.44071166745664</v>
      </c>
      <c r="W61">
        <v>339.82895507490167</v>
      </c>
      <c r="X61">
        <v>1527.2107532136231</v>
      </c>
      <c r="Z61">
        <v>2282.374118620839</v>
      </c>
      <c r="AA61">
        <v>373.81786357418719</v>
      </c>
      <c r="AB61">
        <v>564.06271409251542</v>
      </c>
      <c r="AC61">
        <v>3190.9511374247641</v>
      </c>
      <c r="AD61">
        <v>2771.0618341729332</v>
      </c>
      <c r="AE61">
        <v>985.12701680576333</v>
      </c>
      <c r="AF61">
        <v>3428.3250301330659</v>
      </c>
      <c r="AG61">
        <v>2160.5354727944559</v>
      </c>
      <c r="AH61">
        <v>809.57919687296271</v>
      </c>
      <c r="AI61">
        <v>881.40110230856556</v>
      </c>
      <c r="AK61" s="21">
        <f>SUM(D61:AI61)</f>
        <v>29345.589433594116</v>
      </c>
      <c r="AM61">
        <v>499.71386170761798</v>
      </c>
      <c r="AN61">
        <v>588.05386896693051</v>
      </c>
      <c r="AO61">
        <v>1614.9468376876405</v>
      </c>
      <c r="AP61">
        <v>536.22405312115279</v>
      </c>
      <c r="AQ61">
        <v>930.65991101470911</v>
      </c>
      <c r="AR61">
        <v>1219.0830586834459</v>
      </c>
      <c r="AS61">
        <v>979.34134385285756</v>
      </c>
      <c r="AT61">
        <v>1052.0257641097826</v>
      </c>
      <c r="AU61">
        <v>1306.5357602144541</v>
      </c>
      <c r="AV61">
        <v>1255.6592474056968</v>
      </c>
      <c r="AX61" s="21">
        <f>SUM(D61:AI61)+SUM(AM61:AV61)</f>
        <v>39327.833140358402</v>
      </c>
      <c r="AZ61">
        <v>1250.5315344714122</v>
      </c>
      <c r="BA61">
        <v>1215.555522294743</v>
      </c>
      <c r="BB61">
        <v>2511.4013782317261</v>
      </c>
      <c r="BC61">
        <v>2357.7570914548046</v>
      </c>
      <c r="BD61">
        <v>5639.7567566161079</v>
      </c>
      <c r="BE61">
        <v>829.26124174167819</v>
      </c>
      <c r="BF61">
        <v>2729.268110612918</v>
      </c>
      <c r="BG61">
        <v>7359.1210207489821</v>
      </c>
      <c r="BH61">
        <v>8276.7474813167082</v>
      </c>
      <c r="BI61">
        <v>3575</v>
      </c>
      <c r="BK61" s="21">
        <f>SUM(D61:AI61)+SUM(AM61:AV61)+SUM(AZ61:BI61)</f>
        <v>75072.233277847481</v>
      </c>
    </row>
    <row r="64" spans="1:63" x14ac:dyDescent="0.3">
      <c r="B64" s="48">
        <v>3.5000000000000003E-2</v>
      </c>
      <c r="C64">
        <v>100</v>
      </c>
      <c r="D64">
        <f>C64*(1+$B$64)</f>
        <v>103.49999999999999</v>
      </c>
      <c r="E64">
        <f t="shared" ref="E64:L64" si="93">D64*(1+$B$64)</f>
        <v>107.12249999999997</v>
      </c>
      <c r="F64">
        <f t="shared" si="93"/>
        <v>110.87178749999997</v>
      </c>
      <c r="G64">
        <f t="shared" si="93"/>
        <v>114.75230006249996</v>
      </c>
      <c r="H64">
        <f t="shared" si="93"/>
        <v>118.76863056468744</v>
      </c>
      <c r="I64">
        <f t="shared" si="93"/>
        <v>122.92553263445149</v>
      </c>
      <c r="J64">
        <f t="shared" si="93"/>
        <v>127.22792627665727</v>
      </c>
      <c r="K64">
        <f t="shared" si="93"/>
        <v>131.68090369634027</v>
      </c>
      <c r="L64">
        <f t="shared" si="93"/>
        <v>136.28973532571217</v>
      </c>
      <c r="M64">
        <f>L64*(1+$B$64)</f>
        <v>141.0598760621121</v>
      </c>
      <c r="O64">
        <f>M64*(1+$B$64)</f>
        <v>145.996971724286</v>
      </c>
      <c r="P64">
        <f t="shared" ref="P64:W64" si="94">O64*(1+$B$64)</f>
        <v>151.10686573463599</v>
      </c>
      <c r="Q64">
        <f t="shared" si="94"/>
        <v>156.39560603534824</v>
      </c>
      <c r="R64">
        <f t="shared" si="94"/>
        <v>161.86945224658541</v>
      </c>
      <c r="S64">
        <f t="shared" si="94"/>
        <v>167.53488307521587</v>
      </c>
      <c r="T64">
        <f t="shared" si="94"/>
        <v>173.39860398284841</v>
      </c>
      <c r="U64">
        <f t="shared" si="94"/>
        <v>179.46755512224809</v>
      </c>
      <c r="V64">
        <f t="shared" si="94"/>
        <v>185.74891955152677</v>
      </c>
      <c r="W64">
        <f t="shared" si="94"/>
        <v>192.25013173583019</v>
      </c>
      <c r="X64">
        <f>W64*(1+$B$64)</f>
        <v>198.97888634658423</v>
      </c>
      <c r="Z64">
        <f>X64*(1+$B$64)</f>
        <v>205.94314736871468</v>
      </c>
      <c r="AA64">
        <f t="shared" ref="AA64:AH64" si="95">Z64*(1+$B$64)</f>
        <v>213.15115752661967</v>
      </c>
      <c r="AB64">
        <f t="shared" si="95"/>
        <v>220.61144804005133</v>
      </c>
      <c r="AC64">
        <f t="shared" si="95"/>
        <v>228.3328487214531</v>
      </c>
      <c r="AD64">
        <f t="shared" si="95"/>
        <v>236.32449842670394</v>
      </c>
      <c r="AE64">
        <f t="shared" si="95"/>
        <v>244.59585587163855</v>
      </c>
      <c r="AF64">
        <f t="shared" si="95"/>
        <v>253.15671082714587</v>
      </c>
      <c r="AG64">
        <f t="shared" si="95"/>
        <v>262.01719570609595</v>
      </c>
      <c r="AH64">
        <f t="shared" si="95"/>
        <v>271.18779755580931</v>
      </c>
      <c r="AI64">
        <f>AH64*(1+$B$64)</f>
        <v>280.6793704702626</v>
      </c>
      <c r="AM64">
        <f>AI64*(1+$B$64)</f>
        <v>290.50314843672174</v>
      </c>
      <c r="AN64">
        <f t="shared" ref="AN64:AU64" si="96">AM64*(1+$B$64)</f>
        <v>300.67075863200699</v>
      </c>
      <c r="AO64">
        <f t="shared" si="96"/>
        <v>311.19423518412719</v>
      </c>
      <c r="AP64">
        <f t="shared" si="96"/>
        <v>322.08603341557165</v>
      </c>
      <c r="AQ64">
        <f t="shared" si="96"/>
        <v>333.35904458511664</v>
      </c>
      <c r="AR64">
        <f t="shared" si="96"/>
        <v>345.02661114559567</v>
      </c>
      <c r="AS64">
        <f t="shared" si="96"/>
        <v>357.1025425356915</v>
      </c>
      <c r="AT64">
        <f t="shared" si="96"/>
        <v>369.60113152444069</v>
      </c>
      <c r="AU64">
        <f t="shared" si="96"/>
        <v>382.53717112779606</v>
      </c>
      <c r="AV64">
        <f>AU64*(1+$B$64)</f>
        <v>395.92597211726888</v>
      </c>
    </row>
    <row r="66" spans="1:61" x14ac:dyDescent="0.3">
      <c r="BI66" s="40">
        <f>BI59/BI58</f>
        <v>1.2754632966876951</v>
      </c>
    </row>
    <row r="67" spans="1:61" x14ac:dyDescent="0.3">
      <c r="A67" s="1" t="s">
        <v>58</v>
      </c>
    </row>
    <row r="69" spans="1:61" x14ac:dyDescent="0.3">
      <c r="A69" t="s">
        <v>62</v>
      </c>
      <c r="D69" s="3">
        <v>49127</v>
      </c>
      <c r="E69" s="3">
        <f>D69</f>
        <v>49127</v>
      </c>
      <c r="F69" s="3">
        <f t="shared" ref="F69:M69" si="97">E69</f>
        <v>49127</v>
      </c>
      <c r="G69" s="3">
        <f t="shared" si="97"/>
        <v>49127</v>
      </c>
      <c r="H69" s="3">
        <f t="shared" si="97"/>
        <v>49127</v>
      </c>
      <c r="I69" s="3">
        <f t="shared" si="97"/>
        <v>49127</v>
      </c>
      <c r="J69" s="3">
        <f t="shared" si="97"/>
        <v>49127</v>
      </c>
      <c r="K69" s="3">
        <f t="shared" si="97"/>
        <v>49127</v>
      </c>
      <c r="L69" s="3">
        <f t="shared" si="97"/>
        <v>49127</v>
      </c>
      <c r="M69" s="3">
        <f t="shared" si="97"/>
        <v>49127</v>
      </c>
      <c r="O69" s="3">
        <f>M69</f>
        <v>49127</v>
      </c>
      <c r="P69" s="3">
        <f t="shared" ref="P69:X69" si="98">O69</f>
        <v>49127</v>
      </c>
      <c r="Q69" s="3">
        <f t="shared" si="98"/>
        <v>49127</v>
      </c>
      <c r="R69" s="3">
        <f t="shared" si="98"/>
        <v>49127</v>
      </c>
      <c r="S69" s="3">
        <f t="shared" si="98"/>
        <v>49127</v>
      </c>
      <c r="T69" s="3">
        <f t="shared" si="98"/>
        <v>49127</v>
      </c>
      <c r="U69" s="3">
        <f t="shared" si="98"/>
        <v>49127</v>
      </c>
      <c r="V69" s="3">
        <f t="shared" si="98"/>
        <v>49127</v>
      </c>
      <c r="W69" s="3">
        <f t="shared" si="98"/>
        <v>49127</v>
      </c>
      <c r="X69" s="3">
        <f t="shared" si="98"/>
        <v>49127</v>
      </c>
      <c r="Z69" s="3">
        <f>X69</f>
        <v>49127</v>
      </c>
      <c r="AA69" s="3">
        <f t="shared" ref="AA69:AI69" si="99">Z69</f>
        <v>49127</v>
      </c>
      <c r="AB69" s="3">
        <f t="shared" si="99"/>
        <v>49127</v>
      </c>
      <c r="AC69" s="3">
        <f t="shared" si="99"/>
        <v>49127</v>
      </c>
      <c r="AD69" s="3">
        <f t="shared" si="99"/>
        <v>49127</v>
      </c>
      <c r="AE69" s="3">
        <f t="shared" si="99"/>
        <v>49127</v>
      </c>
      <c r="AF69" s="3">
        <f t="shared" si="99"/>
        <v>49127</v>
      </c>
      <c r="AG69" s="3">
        <f t="shared" si="99"/>
        <v>49127</v>
      </c>
      <c r="AH69" s="3">
        <f t="shared" si="99"/>
        <v>49127</v>
      </c>
      <c r="AI69" s="3">
        <f t="shared" si="99"/>
        <v>49127</v>
      </c>
      <c r="AM69" s="3">
        <f>AI69</f>
        <v>49127</v>
      </c>
      <c r="AN69" s="3">
        <f t="shared" ref="AN69:AV69" si="100">AM69</f>
        <v>49127</v>
      </c>
      <c r="AO69" s="3">
        <f t="shared" si="100"/>
        <v>49127</v>
      </c>
      <c r="AP69" s="3">
        <f t="shared" si="100"/>
        <v>49127</v>
      </c>
      <c r="AQ69" s="3">
        <f t="shared" si="100"/>
        <v>49127</v>
      </c>
      <c r="AR69" s="3">
        <f t="shared" si="100"/>
        <v>49127</v>
      </c>
      <c r="AS69" s="3">
        <f t="shared" si="100"/>
        <v>49127</v>
      </c>
      <c r="AT69" s="3">
        <f t="shared" si="100"/>
        <v>49127</v>
      </c>
      <c r="AU69" s="3">
        <f t="shared" si="100"/>
        <v>49127</v>
      </c>
      <c r="AV69" s="3">
        <f t="shared" si="100"/>
        <v>49127</v>
      </c>
      <c r="AZ69" s="3">
        <f>AV69</f>
        <v>49127</v>
      </c>
      <c r="BA69" s="3">
        <f t="shared" ref="BA69:BI69" si="101">AZ69</f>
        <v>49127</v>
      </c>
      <c r="BB69" s="3">
        <f t="shared" si="101"/>
        <v>49127</v>
      </c>
      <c r="BC69" s="3">
        <f t="shared" si="101"/>
        <v>49127</v>
      </c>
      <c r="BD69" s="3">
        <f t="shared" si="101"/>
        <v>49127</v>
      </c>
      <c r="BE69" s="3">
        <f t="shared" si="101"/>
        <v>49127</v>
      </c>
      <c r="BF69" s="3">
        <f t="shared" si="101"/>
        <v>49127</v>
      </c>
      <c r="BG69" s="3">
        <f t="shared" si="101"/>
        <v>49127</v>
      </c>
      <c r="BH69" s="3">
        <f t="shared" si="101"/>
        <v>49127</v>
      </c>
      <c r="BI69" s="3">
        <f t="shared" si="101"/>
        <v>49127</v>
      </c>
    </row>
    <row r="70" spans="1:61" x14ac:dyDescent="0.3">
      <c r="A70" t="s">
        <v>59</v>
      </c>
      <c r="D70" s="4">
        <f>+D46</f>
        <v>62.469529314082536</v>
      </c>
      <c r="E70" s="4">
        <f t="shared" ref="E70:M70" si="102">+E46</f>
        <v>156.40885090785287</v>
      </c>
      <c r="F70" s="4">
        <f t="shared" si="102"/>
        <v>282.59806878684248</v>
      </c>
      <c r="G70" s="4">
        <f t="shared" si="102"/>
        <v>441.83603627509183</v>
      </c>
      <c r="H70" s="4">
        <f t="shared" si="102"/>
        <v>634.94077511957323</v>
      </c>
      <c r="I70" s="4">
        <f t="shared" si="102"/>
        <v>531.454578169108</v>
      </c>
      <c r="J70" s="4">
        <f t="shared" si="102"/>
        <v>453.5834839388325</v>
      </c>
      <c r="K70" s="4">
        <f t="shared" si="102"/>
        <v>401.90683126846187</v>
      </c>
      <c r="L70" s="4">
        <f t="shared" si="102"/>
        <v>377.01596530041752</v>
      </c>
      <c r="M70" s="4">
        <f t="shared" si="102"/>
        <v>379.20489519006333</v>
      </c>
      <c r="O70" s="4">
        <f t="shared" ref="O70:P70" si="103">+O46</f>
        <v>409.70877325753111</v>
      </c>
      <c r="P70" s="4">
        <f t="shared" si="103"/>
        <v>468.8467548851421</v>
      </c>
      <c r="Q70" s="4">
        <f t="shared" ref="Q70:X70" si="104">+Q46</f>
        <v>557.26049434965034</v>
      </c>
      <c r="R70" s="4">
        <f t="shared" si="104"/>
        <v>675.60483578460003</v>
      </c>
      <c r="S70" s="4">
        <f t="shared" si="104"/>
        <v>574.54807596777323</v>
      </c>
      <c r="T70" s="4">
        <f t="shared" si="104"/>
        <v>504.77223637618135</v>
      </c>
      <c r="U70" s="4">
        <f t="shared" si="104"/>
        <v>716.97334462554079</v>
      </c>
      <c r="V70" s="4">
        <f t="shared" si="104"/>
        <v>711.86172534505693</v>
      </c>
      <c r="W70" s="4">
        <f t="shared" si="104"/>
        <v>752.66230047433965</v>
      </c>
      <c r="X70" s="4">
        <f t="shared" si="104"/>
        <v>840.11489890892744</v>
      </c>
      <c r="Z70" s="4">
        <f t="shared" ref="Z70:AI70" si="105">+Z46</f>
        <v>974.97457536558045</v>
      </c>
      <c r="AA70" s="4">
        <f t="shared" si="105"/>
        <v>920.51193828937289</v>
      </c>
      <c r="AB70" s="4">
        <f t="shared" si="105"/>
        <v>940.01348658252527</v>
      </c>
      <c r="AC70" s="4">
        <f t="shared" si="105"/>
        <v>784.28195490050712</v>
      </c>
      <c r="AD70" s="4">
        <f t="shared" si="105"/>
        <v>941.63666723454457</v>
      </c>
      <c r="AE70" s="4">
        <f t="shared" si="105"/>
        <v>925.41389848130279</v>
      </c>
      <c r="AF70" s="4">
        <f t="shared" si="105"/>
        <v>986.46724369009189</v>
      </c>
      <c r="AG70" s="4">
        <f t="shared" si="105"/>
        <v>1125.6679946749325</v>
      </c>
      <c r="AH70" s="4">
        <f t="shared" si="105"/>
        <v>1093.9055236827567</v>
      </c>
      <c r="AI70" s="4">
        <f t="shared" si="105"/>
        <v>1154.5876738190718</v>
      </c>
      <c r="AM70" s="4">
        <f t="shared" ref="AM70:AV70" si="106">+AM46</f>
        <v>1308.6411559477974</v>
      </c>
      <c r="AN70" s="4">
        <f t="shared" si="106"/>
        <v>1094.5119518017809</v>
      </c>
      <c r="AO70" s="4">
        <f t="shared" si="106"/>
        <v>1475.6657230637675</v>
      </c>
      <c r="AP70" s="4">
        <f t="shared" si="106"/>
        <v>1240.5882262034247</v>
      </c>
      <c r="AQ70" s="4">
        <f t="shared" si="106"/>
        <v>1140.285732883548</v>
      </c>
      <c r="AR70" s="4">
        <f t="shared" si="106"/>
        <v>1175.7854557769006</v>
      </c>
      <c r="AS70" s="4">
        <f t="shared" si="106"/>
        <v>1348.135979663627</v>
      </c>
      <c r="AT70" s="4">
        <f t="shared" si="106"/>
        <v>1695.9076977070731</v>
      </c>
      <c r="AU70" s="4">
        <f t="shared" si="106"/>
        <v>1470.1932528326411</v>
      </c>
      <c r="AV70" s="4">
        <f t="shared" si="106"/>
        <v>2568.3264841595555</v>
      </c>
      <c r="AZ70" s="4">
        <f t="shared" ref="AZ70:BI70" si="107">+AZ46</f>
        <v>5000.7473784587091</v>
      </c>
      <c r="BA70" s="4">
        <f t="shared" si="107"/>
        <v>7488.0980266308597</v>
      </c>
      <c r="BB70" s="4">
        <f t="shared" si="107"/>
        <v>10031.564585218195</v>
      </c>
      <c r="BC70" s="4">
        <f t="shared" si="107"/>
        <v>12632.357742978531</v>
      </c>
      <c r="BD70" s="4">
        <f t="shared" si="107"/>
        <v>15291.713192565152</v>
      </c>
      <c r="BE70" s="4">
        <f t="shared" si="107"/>
        <v>18010.892107366511</v>
      </c>
      <c r="BF70" s="4">
        <f t="shared" si="107"/>
        <v>20791.181623568857</v>
      </c>
      <c r="BG70" s="4">
        <f t="shared" si="107"/>
        <v>23633.895327511305</v>
      </c>
      <c r="BH70" s="4">
        <f t="shared" si="107"/>
        <v>26540.373748407132</v>
      </c>
      <c r="BI70" s="4">
        <f t="shared" si="107"/>
        <v>29511.984856507304</v>
      </c>
    </row>
    <row r="71" spans="1:61" x14ac:dyDescent="0.3">
      <c r="D71" s="3">
        <f>SUM(D69:D70)</f>
        <v>49189.469529314083</v>
      </c>
      <c r="E71" s="3">
        <f t="shared" ref="E71:P71" si="108">SUM(E69:E70)</f>
        <v>49283.40885090785</v>
      </c>
      <c r="F71" s="3">
        <f t="shared" si="108"/>
        <v>49409.598068786843</v>
      </c>
      <c r="G71" s="3">
        <f t="shared" si="108"/>
        <v>49568.83603627509</v>
      </c>
      <c r="H71" s="3">
        <f t="shared" si="108"/>
        <v>49761.940775119576</v>
      </c>
      <c r="I71" s="3">
        <f t="shared" si="108"/>
        <v>49658.454578169105</v>
      </c>
      <c r="J71" s="3">
        <f t="shared" si="108"/>
        <v>49580.583483938834</v>
      </c>
      <c r="K71" s="3">
        <f t="shared" si="108"/>
        <v>49528.906831268461</v>
      </c>
      <c r="L71" s="3">
        <f t="shared" si="108"/>
        <v>49504.015965300416</v>
      </c>
      <c r="M71" s="3">
        <f t="shared" si="108"/>
        <v>49506.204895190065</v>
      </c>
      <c r="O71" s="3">
        <f t="shared" si="108"/>
        <v>49536.708773257531</v>
      </c>
      <c r="P71" s="3">
        <f t="shared" si="108"/>
        <v>49595.84675488514</v>
      </c>
      <c r="Q71" s="3">
        <f t="shared" ref="Q71" si="109">SUM(Q69:Q70)</f>
        <v>49684.260494349648</v>
      </c>
      <c r="R71" s="3">
        <f t="shared" ref="R71" si="110">SUM(R69:R70)</f>
        <v>49802.604835784601</v>
      </c>
      <c r="S71" s="3">
        <f t="shared" ref="S71" si="111">SUM(S69:S70)</f>
        <v>49701.548075967774</v>
      </c>
      <c r="T71" s="3">
        <f t="shared" ref="T71" si="112">SUM(T69:T70)</f>
        <v>49631.772236376179</v>
      </c>
      <c r="U71" s="3">
        <f t="shared" ref="U71" si="113">SUM(U69:U70)</f>
        <v>49843.973344625541</v>
      </c>
      <c r="V71" s="3">
        <f t="shared" ref="V71" si="114">SUM(V69:V70)</f>
        <v>49838.861725345057</v>
      </c>
      <c r="W71" s="3">
        <f t="shared" ref="W71" si="115">SUM(W69:W70)</f>
        <v>49879.662300474338</v>
      </c>
      <c r="X71" s="3">
        <f t="shared" ref="X71" si="116">SUM(X69:X70)</f>
        <v>49967.114898908927</v>
      </c>
      <c r="Z71" s="3">
        <f t="shared" ref="Z71" si="117">SUM(Z69:Z70)</f>
        <v>50101.974575365581</v>
      </c>
      <c r="AA71" s="3">
        <f t="shared" ref="AA71" si="118">SUM(AA69:AA70)</f>
        <v>50047.511938289375</v>
      </c>
      <c r="AB71" s="3">
        <f t="shared" ref="AB71" si="119">SUM(AB69:AB70)</f>
        <v>50067.013486582524</v>
      </c>
      <c r="AC71" s="3">
        <f t="shared" ref="AC71" si="120">SUM(AC69:AC70)</f>
        <v>49911.281954900507</v>
      </c>
      <c r="AD71" s="3">
        <f t="shared" ref="AD71" si="121">SUM(AD69:AD70)</f>
        <v>50068.636667234547</v>
      </c>
      <c r="AE71" s="3">
        <f t="shared" ref="AE71" si="122">SUM(AE69:AE70)</f>
        <v>50052.413898481303</v>
      </c>
      <c r="AF71" s="3">
        <f t="shared" ref="AF71" si="123">SUM(AF69:AF70)</f>
        <v>50113.467243690095</v>
      </c>
      <c r="AG71" s="3">
        <f t="shared" ref="AG71" si="124">SUM(AG69:AG70)</f>
        <v>50252.667994674935</v>
      </c>
      <c r="AH71" s="3">
        <f t="shared" ref="AH71" si="125">SUM(AH69:AH70)</f>
        <v>50220.905523682755</v>
      </c>
      <c r="AI71" s="3">
        <f t="shared" ref="AI71" si="126">SUM(AI69:AI70)</f>
        <v>50281.587673819071</v>
      </c>
      <c r="AM71" s="3">
        <f t="shared" ref="AM71" si="127">SUM(AM69:AM70)</f>
        <v>50435.6411559478</v>
      </c>
      <c r="AN71" s="3">
        <f t="shared" ref="AN71" si="128">SUM(AN69:AN70)</f>
        <v>50221.511951801782</v>
      </c>
      <c r="AO71" s="3">
        <f t="shared" ref="AO71" si="129">SUM(AO69:AO70)</f>
        <v>50602.665723063765</v>
      </c>
      <c r="AP71" s="3">
        <f t="shared" ref="AP71" si="130">SUM(AP69:AP70)</f>
        <v>50367.588226203428</v>
      </c>
      <c r="AQ71" s="3">
        <f t="shared" ref="AQ71" si="131">SUM(AQ69:AQ70)</f>
        <v>50267.285732883545</v>
      </c>
      <c r="AR71" s="3">
        <f t="shared" ref="AR71" si="132">SUM(AR69:AR70)</f>
        <v>50302.785455776902</v>
      </c>
      <c r="AS71" s="3">
        <f t="shared" ref="AS71" si="133">SUM(AS69:AS70)</f>
        <v>50475.135979663624</v>
      </c>
      <c r="AT71" s="3">
        <f t="shared" ref="AT71" si="134">SUM(AT69:AT70)</f>
        <v>50822.907697707073</v>
      </c>
      <c r="AU71" s="3">
        <f t="shared" ref="AU71" si="135">SUM(AU69:AU70)</f>
        <v>50597.193252832643</v>
      </c>
      <c r="AV71" s="3">
        <f t="shared" ref="AV71" si="136">SUM(AV69:AV70)</f>
        <v>51695.326484159552</v>
      </c>
      <c r="AZ71" s="3">
        <f t="shared" ref="AZ71" si="137">SUM(AZ69:AZ70)</f>
        <v>54127.747378458705</v>
      </c>
      <c r="BA71" s="3">
        <f t="shared" ref="BA71" si="138">SUM(BA69:BA70)</f>
        <v>56615.098026630862</v>
      </c>
      <c r="BB71" s="3">
        <f t="shared" ref="BB71" si="139">SUM(BB69:BB70)</f>
        <v>59158.564585218191</v>
      </c>
      <c r="BC71" s="3">
        <f t="shared" ref="BC71" si="140">SUM(BC69:BC70)</f>
        <v>61759.357742978529</v>
      </c>
      <c r="BD71" s="3">
        <f t="shared" ref="BD71" si="141">SUM(BD69:BD70)</f>
        <v>64418.713192565148</v>
      </c>
      <c r="BE71" s="3">
        <f t="shared" ref="BE71" si="142">SUM(BE69:BE70)</f>
        <v>67137.892107366511</v>
      </c>
      <c r="BF71" s="3">
        <f t="shared" ref="BF71" si="143">SUM(BF69:BF70)</f>
        <v>69918.18162356886</v>
      </c>
      <c r="BG71" s="3">
        <f t="shared" ref="BG71" si="144">SUM(BG69:BG70)</f>
        <v>72760.895327511302</v>
      </c>
      <c r="BH71" s="3">
        <f t="shared" ref="BH71" si="145">SUM(BH69:BH70)</f>
        <v>75667.373748407132</v>
      </c>
      <c r="BI71" s="3">
        <f t="shared" ref="BI71" si="146">SUM(BI69:BI70)</f>
        <v>78638.984856507304</v>
      </c>
    </row>
    <row r="72" spans="1:61" x14ac:dyDescent="0.3">
      <c r="D72" s="3"/>
      <c r="E72" s="3"/>
      <c r="F72" s="3"/>
      <c r="G72" s="3"/>
      <c r="H72" s="3"/>
      <c r="I72" s="3"/>
      <c r="J72" s="3"/>
      <c r="K72" s="3"/>
      <c r="L72" s="3"/>
      <c r="M72" s="3"/>
      <c r="O72" s="3"/>
      <c r="P72" s="3"/>
      <c r="Q72" s="3"/>
      <c r="R72" s="3"/>
      <c r="S72" s="3"/>
      <c r="T72" s="3"/>
      <c r="U72" s="3"/>
      <c r="V72" s="3"/>
      <c r="W72" s="3"/>
      <c r="X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Z72" s="3"/>
      <c r="BA72" s="3"/>
      <c r="BB72" s="3"/>
      <c r="BC72" s="3"/>
      <c r="BD72" s="3"/>
      <c r="BE72" s="3"/>
      <c r="BF72" s="3"/>
      <c r="BG72" s="3"/>
      <c r="BH72" s="3"/>
      <c r="BI72" s="3"/>
    </row>
    <row r="73" spans="1:61" x14ac:dyDescent="0.3">
      <c r="A73" t="s">
        <v>60</v>
      </c>
      <c r="D73" s="3">
        <f>+D71-D74</f>
        <v>25154.699529314083</v>
      </c>
      <c r="E73" s="3">
        <f t="shared" ref="E73:P73" si="147">+E71-E74</f>
        <v>25248.63885090785</v>
      </c>
      <c r="F73" s="3">
        <f t="shared" si="147"/>
        <v>25374.828068786843</v>
      </c>
      <c r="G73" s="3">
        <f t="shared" si="147"/>
        <v>25534.06603627509</v>
      </c>
      <c r="H73" s="3">
        <f t="shared" si="147"/>
        <v>25727.170775119575</v>
      </c>
      <c r="I73" s="3">
        <f t="shared" si="147"/>
        <v>25623.684578169104</v>
      </c>
      <c r="J73" s="3">
        <f t="shared" si="147"/>
        <v>25545.813483938833</v>
      </c>
      <c r="K73" s="3">
        <f t="shared" si="147"/>
        <v>25494.136831268461</v>
      </c>
      <c r="L73" s="3">
        <f t="shared" si="147"/>
        <v>25469.245965300415</v>
      </c>
      <c r="M73" s="3">
        <f t="shared" si="147"/>
        <v>25471.434895190065</v>
      </c>
      <c r="O73" s="3">
        <f t="shared" si="147"/>
        <v>25501.938773257531</v>
      </c>
      <c r="P73" s="3">
        <f t="shared" si="147"/>
        <v>25561.07675488514</v>
      </c>
      <c r="Q73" s="3">
        <f t="shared" ref="Q73" si="148">+Q71-Q74</f>
        <v>25649.490494349648</v>
      </c>
      <c r="R73" s="3">
        <f t="shared" ref="R73" si="149">+R71-R74</f>
        <v>25767.834835784601</v>
      </c>
      <c r="S73" s="3">
        <f t="shared" ref="S73" si="150">+S71-S74</f>
        <v>25916.778075967773</v>
      </c>
      <c r="T73" s="3">
        <f t="shared" ref="T73" si="151">+T71-T74</f>
        <v>26097.002236376178</v>
      </c>
      <c r="U73" s="3">
        <f t="shared" ref="U73" si="152">+U71-U74</f>
        <v>26309.203344625541</v>
      </c>
      <c r="V73" s="3">
        <f t="shared" ref="V73" si="153">+V71-V74</f>
        <v>26554.091725345057</v>
      </c>
      <c r="W73" s="3">
        <f t="shared" ref="W73" si="154">+W71-W74</f>
        <v>26844.892300474337</v>
      </c>
      <c r="X73" s="3">
        <f t="shared" ref="X73" si="155">+X71-X74</f>
        <v>27182.344898908927</v>
      </c>
      <c r="Z73" s="3">
        <f t="shared" ref="Z73" si="156">+Z71-Z74</f>
        <v>27567.20457536558</v>
      </c>
      <c r="AA73" s="3">
        <f t="shared" ref="AA73" si="157">+AA71-AA74</f>
        <v>28012.741938289375</v>
      </c>
      <c r="AB73" s="3">
        <f t="shared" ref="AB73" si="158">+AB71-AB74</f>
        <v>28532.243486582523</v>
      </c>
      <c r="AC73" s="3">
        <f t="shared" ref="AC73" si="159">+AC71-AC74</f>
        <v>29126.511954900507</v>
      </c>
      <c r="AD73" s="3">
        <f t="shared" ref="AD73" si="160">+AD71-AD74</f>
        <v>29783.866667234546</v>
      </c>
      <c r="AE73" s="3">
        <f t="shared" ref="AE73" si="161">+AE71-AE74</f>
        <v>30517.643898481303</v>
      </c>
      <c r="AF73" s="3">
        <f t="shared" ref="AF73" si="162">+AF71-AF74</f>
        <v>31328.697243690094</v>
      </c>
      <c r="AG73" s="3">
        <f t="shared" ref="AG73" si="163">+AG71-AG74</f>
        <v>32217.897994674935</v>
      </c>
      <c r="AH73" s="3">
        <f t="shared" ref="AH73" si="164">+AH71-AH74</f>
        <v>33186.135523682751</v>
      </c>
      <c r="AI73" s="3">
        <f t="shared" ref="AI73" si="165">+AI71-AI74</f>
        <v>34246.817673819067</v>
      </c>
      <c r="AM73" s="3">
        <f t="shared" ref="AM73" si="166">+AM71-AM74</f>
        <v>35400.871155947796</v>
      </c>
      <c r="AN73" s="3">
        <f t="shared" ref="AN73" si="167">+AN71-AN74</f>
        <v>36686.741951801785</v>
      </c>
      <c r="AO73" s="3">
        <f t="shared" ref="AO73" si="168">+AO71-AO74</f>
        <v>38067.895723063761</v>
      </c>
      <c r="AP73" s="3">
        <f t="shared" ref="AP73" si="169">+AP71-AP74</f>
        <v>39582.818226203424</v>
      </c>
      <c r="AQ73" s="3">
        <f t="shared" ref="AQ73" si="170">+AQ71-AQ74</f>
        <v>41232.515732883548</v>
      </c>
      <c r="AR73" s="3">
        <f t="shared" ref="AR73" si="171">+AR71-AR74</f>
        <v>43018.015455776898</v>
      </c>
      <c r="AS73" s="3">
        <f t="shared" ref="AS73" si="172">+AS71-AS74</f>
        <v>44940.36597966362</v>
      </c>
      <c r="AT73" s="3">
        <f t="shared" ref="AT73" si="173">+AT71-AT74</f>
        <v>47038.137697707076</v>
      </c>
      <c r="AU73" s="3">
        <f t="shared" ref="AU73" si="174">+AU71-AU74</f>
        <v>49312.423252832639</v>
      </c>
      <c r="AV73" s="3">
        <f t="shared" ref="AV73" si="175">+AV71-AV74</f>
        <v>51695.326484159552</v>
      </c>
      <c r="AZ73" s="3">
        <f t="shared" ref="AZ73" si="176">+AZ71-AZ74</f>
        <v>54127.747378458705</v>
      </c>
      <c r="BA73" s="3">
        <f t="shared" ref="BA73" si="177">+BA71-BA74</f>
        <v>56615.098026630862</v>
      </c>
      <c r="BB73" s="3">
        <f t="shared" ref="BB73" si="178">+BB71-BB74</f>
        <v>59158.564585218191</v>
      </c>
      <c r="BC73" s="3">
        <f t="shared" ref="BC73" si="179">+BC71-BC74</f>
        <v>61759.357742978529</v>
      </c>
      <c r="BD73" s="3">
        <f t="shared" ref="BD73" si="180">+BD71-BD74</f>
        <v>64418.713192565148</v>
      </c>
      <c r="BE73" s="3">
        <f t="shared" ref="BE73" si="181">+BE71-BE74</f>
        <v>67137.892107366511</v>
      </c>
      <c r="BF73" s="3">
        <f t="shared" ref="BF73" si="182">+BF71-BF74</f>
        <v>69918.18162356886</v>
      </c>
      <c r="BG73" s="3">
        <f t="shared" ref="BG73" si="183">+BG71-BG74</f>
        <v>72760.895327511302</v>
      </c>
      <c r="BH73" s="3">
        <f t="shared" ref="BH73" si="184">+BH71-BH74</f>
        <v>75667.373748407132</v>
      </c>
      <c r="BI73" s="3">
        <f t="shared" ref="BI73" si="185">+BI71-BI74</f>
        <v>78638.984856507304</v>
      </c>
    </row>
    <row r="74" spans="1:61" x14ac:dyDescent="0.3">
      <c r="A74" t="s">
        <v>61</v>
      </c>
      <c r="D74" s="4">
        <f>+D44</f>
        <v>24034.77</v>
      </c>
      <c r="E74" s="4">
        <f t="shared" ref="E74:M74" si="186">+E44</f>
        <v>24034.77</v>
      </c>
      <c r="F74" s="4">
        <f t="shared" si="186"/>
        <v>24034.77</v>
      </c>
      <c r="G74" s="4">
        <f t="shared" si="186"/>
        <v>24034.77</v>
      </c>
      <c r="H74" s="4">
        <f t="shared" si="186"/>
        <v>24034.77</v>
      </c>
      <c r="I74" s="4">
        <f t="shared" si="186"/>
        <v>24034.77</v>
      </c>
      <c r="J74" s="4">
        <f t="shared" si="186"/>
        <v>24034.77</v>
      </c>
      <c r="K74" s="4">
        <f t="shared" si="186"/>
        <v>24034.77</v>
      </c>
      <c r="L74" s="4">
        <f t="shared" si="186"/>
        <v>24034.77</v>
      </c>
      <c r="M74" s="4">
        <f t="shared" si="186"/>
        <v>24034.77</v>
      </c>
      <c r="O74" s="4">
        <f t="shared" ref="O74:P74" si="187">+O44</f>
        <v>24034.77</v>
      </c>
      <c r="P74" s="4">
        <f t="shared" si="187"/>
        <v>24034.77</v>
      </c>
      <c r="Q74" s="4">
        <f t="shared" ref="Q74:X74" si="188">+Q44</f>
        <v>24034.77</v>
      </c>
      <c r="R74" s="4">
        <f t="shared" si="188"/>
        <v>24034.77</v>
      </c>
      <c r="S74" s="4">
        <f t="shared" si="188"/>
        <v>23784.77</v>
      </c>
      <c r="T74" s="4">
        <f t="shared" si="188"/>
        <v>23534.77</v>
      </c>
      <c r="U74" s="4">
        <f t="shared" si="188"/>
        <v>23534.77</v>
      </c>
      <c r="V74" s="4">
        <f t="shared" si="188"/>
        <v>23284.77</v>
      </c>
      <c r="W74" s="4">
        <f t="shared" si="188"/>
        <v>23034.77</v>
      </c>
      <c r="X74" s="4">
        <f t="shared" si="188"/>
        <v>22784.77</v>
      </c>
      <c r="Z74" s="4">
        <f t="shared" ref="Z74:AI74" si="189">+Z44</f>
        <v>22534.77</v>
      </c>
      <c r="AA74" s="4">
        <f t="shared" si="189"/>
        <v>22034.77</v>
      </c>
      <c r="AB74" s="4">
        <f t="shared" si="189"/>
        <v>21534.77</v>
      </c>
      <c r="AC74" s="4">
        <f t="shared" si="189"/>
        <v>20784.77</v>
      </c>
      <c r="AD74" s="4">
        <f t="shared" si="189"/>
        <v>20284.77</v>
      </c>
      <c r="AE74" s="4">
        <f t="shared" si="189"/>
        <v>19534.77</v>
      </c>
      <c r="AF74" s="4">
        <f t="shared" si="189"/>
        <v>18784.77</v>
      </c>
      <c r="AG74" s="4">
        <f t="shared" si="189"/>
        <v>18034.77</v>
      </c>
      <c r="AH74" s="4">
        <f t="shared" si="189"/>
        <v>17034.77</v>
      </c>
      <c r="AI74" s="4">
        <f t="shared" si="189"/>
        <v>16034.77</v>
      </c>
      <c r="AM74" s="4">
        <f t="shared" ref="AM74:AV74" si="190">+AM44</f>
        <v>15034.77</v>
      </c>
      <c r="AN74" s="4">
        <f t="shared" si="190"/>
        <v>13534.77</v>
      </c>
      <c r="AO74" s="4">
        <f t="shared" si="190"/>
        <v>12534.77</v>
      </c>
      <c r="AP74" s="4">
        <f t="shared" si="190"/>
        <v>10784.77</v>
      </c>
      <c r="AQ74" s="4">
        <f t="shared" si="190"/>
        <v>9034.77</v>
      </c>
      <c r="AR74" s="4">
        <f t="shared" si="190"/>
        <v>7284.77</v>
      </c>
      <c r="AS74" s="4">
        <f t="shared" si="190"/>
        <v>5534.77</v>
      </c>
      <c r="AT74" s="4">
        <f t="shared" si="190"/>
        <v>3784.7700000000004</v>
      </c>
      <c r="AU74" s="4">
        <f t="shared" si="190"/>
        <v>1284.7700000000004</v>
      </c>
      <c r="AV74" s="4">
        <f t="shared" si="190"/>
        <v>0</v>
      </c>
      <c r="AZ74" s="4">
        <f t="shared" ref="AZ74:BI74" si="191">+AZ44</f>
        <v>0</v>
      </c>
      <c r="BA74" s="4">
        <f t="shared" si="191"/>
        <v>0</v>
      </c>
      <c r="BB74" s="4">
        <f t="shared" si="191"/>
        <v>0</v>
      </c>
      <c r="BC74" s="4">
        <f t="shared" si="191"/>
        <v>0</v>
      </c>
      <c r="BD74" s="4">
        <f t="shared" si="191"/>
        <v>0</v>
      </c>
      <c r="BE74" s="4">
        <f t="shared" si="191"/>
        <v>0</v>
      </c>
      <c r="BF74" s="4">
        <f t="shared" si="191"/>
        <v>0</v>
      </c>
      <c r="BG74" s="4">
        <f t="shared" si="191"/>
        <v>0</v>
      </c>
      <c r="BH74" s="4">
        <f t="shared" si="191"/>
        <v>0</v>
      </c>
      <c r="BI74" s="4">
        <f t="shared" si="191"/>
        <v>0</v>
      </c>
    </row>
    <row r="75" spans="1:61" x14ac:dyDescent="0.3">
      <c r="D75" s="3">
        <f>SUM(D73:D74)</f>
        <v>49189.469529314083</v>
      </c>
      <c r="E75" s="3">
        <f t="shared" ref="E75:P75" si="192">SUM(E73:E74)</f>
        <v>49283.40885090785</v>
      </c>
      <c r="F75" s="3">
        <f t="shared" si="192"/>
        <v>49409.598068786843</v>
      </c>
      <c r="G75" s="3">
        <f t="shared" si="192"/>
        <v>49568.83603627509</v>
      </c>
      <c r="H75" s="3">
        <f t="shared" si="192"/>
        <v>49761.940775119576</v>
      </c>
      <c r="I75" s="3">
        <f t="shared" si="192"/>
        <v>49658.454578169105</v>
      </c>
      <c r="J75" s="3">
        <f t="shared" si="192"/>
        <v>49580.583483938834</v>
      </c>
      <c r="K75" s="3">
        <f t="shared" si="192"/>
        <v>49528.906831268461</v>
      </c>
      <c r="L75" s="3">
        <f t="shared" si="192"/>
        <v>49504.015965300416</v>
      </c>
      <c r="M75" s="3">
        <f t="shared" si="192"/>
        <v>49506.204895190065</v>
      </c>
      <c r="O75" s="3">
        <f t="shared" si="192"/>
        <v>49536.708773257531</v>
      </c>
      <c r="P75" s="3">
        <f t="shared" si="192"/>
        <v>49595.84675488514</v>
      </c>
      <c r="Q75" s="3">
        <f t="shared" ref="Q75" si="193">SUM(Q73:Q74)</f>
        <v>49684.260494349648</v>
      </c>
      <c r="R75" s="3">
        <f t="shared" ref="R75" si="194">SUM(R73:R74)</f>
        <v>49802.604835784601</v>
      </c>
      <c r="S75" s="3">
        <f t="shared" ref="S75" si="195">SUM(S73:S74)</f>
        <v>49701.548075967774</v>
      </c>
      <c r="T75" s="3">
        <f t="shared" ref="T75" si="196">SUM(T73:T74)</f>
        <v>49631.772236376179</v>
      </c>
      <c r="U75" s="3">
        <f t="shared" ref="U75" si="197">SUM(U73:U74)</f>
        <v>49843.973344625541</v>
      </c>
      <c r="V75" s="3">
        <f t="shared" ref="V75" si="198">SUM(V73:V74)</f>
        <v>49838.861725345057</v>
      </c>
      <c r="W75" s="3">
        <f t="shared" ref="W75" si="199">SUM(W73:W74)</f>
        <v>49879.662300474338</v>
      </c>
      <c r="X75" s="3">
        <f t="shared" ref="X75" si="200">SUM(X73:X74)</f>
        <v>49967.114898908927</v>
      </c>
      <c r="Z75" s="3">
        <f t="shared" ref="Z75" si="201">SUM(Z73:Z74)</f>
        <v>50101.974575365581</v>
      </c>
      <c r="AA75" s="3">
        <f t="shared" ref="AA75" si="202">SUM(AA73:AA74)</f>
        <v>50047.511938289375</v>
      </c>
      <c r="AB75" s="3">
        <f t="shared" ref="AB75" si="203">SUM(AB73:AB74)</f>
        <v>50067.013486582524</v>
      </c>
      <c r="AC75" s="3">
        <f t="shared" ref="AC75" si="204">SUM(AC73:AC74)</f>
        <v>49911.281954900507</v>
      </c>
      <c r="AD75" s="3">
        <f t="shared" ref="AD75" si="205">SUM(AD73:AD74)</f>
        <v>50068.636667234547</v>
      </c>
      <c r="AE75" s="3">
        <f t="shared" ref="AE75" si="206">SUM(AE73:AE74)</f>
        <v>50052.413898481303</v>
      </c>
      <c r="AF75" s="3">
        <f t="shared" ref="AF75" si="207">SUM(AF73:AF74)</f>
        <v>50113.467243690095</v>
      </c>
      <c r="AG75" s="3">
        <f t="shared" ref="AG75" si="208">SUM(AG73:AG74)</f>
        <v>50252.667994674935</v>
      </c>
      <c r="AH75" s="3">
        <f t="shared" ref="AH75" si="209">SUM(AH73:AH74)</f>
        <v>50220.905523682755</v>
      </c>
      <c r="AI75" s="3">
        <f t="shared" ref="AI75" si="210">SUM(AI73:AI74)</f>
        <v>50281.587673819071</v>
      </c>
      <c r="AM75" s="3">
        <f t="shared" ref="AM75" si="211">SUM(AM73:AM74)</f>
        <v>50435.6411559478</v>
      </c>
      <c r="AN75" s="3">
        <f t="shared" ref="AN75" si="212">SUM(AN73:AN74)</f>
        <v>50221.511951801789</v>
      </c>
      <c r="AO75" s="3">
        <f t="shared" ref="AO75" si="213">SUM(AO73:AO74)</f>
        <v>50602.665723063765</v>
      </c>
      <c r="AP75" s="3">
        <f t="shared" ref="AP75" si="214">SUM(AP73:AP74)</f>
        <v>50367.588226203428</v>
      </c>
      <c r="AQ75" s="3">
        <f t="shared" ref="AQ75" si="215">SUM(AQ73:AQ74)</f>
        <v>50267.285732883553</v>
      </c>
      <c r="AR75" s="3">
        <f t="shared" ref="AR75" si="216">SUM(AR73:AR74)</f>
        <v>50302.785455776902</v>
      </c>
      <c r="AS75" s="3">
        <f t="shared" ref="AS75" si="217">SUM(AS73:AS74)</f>
        <v>50475.135979663624</v>
      </c>
      <c r="AT75" s="3">
        <f t="shared" ref="AT75" si="218">SUM(AT73:AT74)</f>
        <v>50822.90769770708</v>
      </c>
      <c r="AU75" s="3">
        <f t="shared" ref="AU75" si="219">SUM(AU73:AU74)</f>
        <v>50597.193252832643</v>
      </c>
      <c r="AV75" s="3">
        <f t="shared" ref="AV75" si="220">SUM(AV73:AV74)</f>
        <v>51695.326484159552</v>
      </c>
      <c r="AZ75" s="3">
        <f t="shared" ref="AZ75" si="221">SUM(AZ73:AZ74)</f>
        <v>54127.747378458705</v>
      </c>
      <c r="BA75" s="3">
        <f t="shared" ref="BA75" si="222">SUM(BA73:BA74)</f>
        <v>56615.098026630862</v>
      </c>
      <c r="BB75" s="3">
        <f t="shared" ref="BB75" si="223">SUM(BB73:BB74)</f>
        <v>59158.564585218191</v>
      </c>
      <c r="BC75" s="3">
        <f t="shared" ref="BC75" si="224">SUM(BC73:BC74)</f>
        <v>61759.357742978529</v>
      </c>
      <c r="BD75" s="3">
        <f t="shared" ref="BD75" si="225">SUM(BD73:BD74)</f>
        <v>64418.713192565148</v>
      </c>
      <c r="BE75" s="3">
        <f t="shared" ref="BE75" si="226">SUM(BE73:BE74)</f>
        <v>67137.892107366511</v>
      </c>
      <c r="BF75" s="3">
        <f t="shared" ref="BF75" si="227">SUM(BF73:BF74)</f>
        <v>69918.18162356886</v>
      </c>
      <c r="BG75" s="3">
        <f t="shared" ref="BG75" si="228">SUM(BG73:BG74)</f>
        <v>72760.895327511302</v>
      </c>
      <c r="BH75" s="3">
        <f t="shared" ref="BH75" si="229">SUM(BH73:BH74)</f>
        <v>75667.373748407132</v>
      </c>
      <c r="BI75" s="3">
        <f t="shared" ref="BI75" si="230">SUM(BI73:BI74)</f>
        <v>78638.984856507304</v>
      </c>
    </row>
    <row r="77" spans="1:61" x14ac:dyDescent="0.3">
      <c r="M77" s="8"/>
    </row>
    <row r="78" spans="1:61" x14ac:dyDescent="0.3">
      <c r="L78" s="56" t="s">
        <v>63</v>
      </c>
      <c r="M78" s="8">
        <f>SUM(D37:M37)</f>
        <v>265.08224480916738</v>
      </c>
      <c r="AI78" s="8">
        <f>+AI73-D73</f>
        <v>9092.1181445049842</v>
      </c>
    </row>
    <row r="79" spans="1:61" x14ac:dyDescent="0.3">
      <c r="L79" s="56" t="s">
        <v>64</v>
      </c>
      <c r="M79" s="8">
        <f>+SUM(D39:M39)</f>
        <v>379.20489519006333</v>
      </c>
      <c r="AI79" s="8">
        <f>+AI78-9155</f>
        <v>-62.88185549501577</v>
      </c>
    </row>
    <row r="80" spans="1:61" x14ac:dyDescent="0.3">
      <c r="M80" s="8">
        <f>+M79-M78</f>
        <v>114.12265038089595</v>
      </c>
    </row>
    <row r="81" spans="12:13" x14ac:dyDescent="0.3">
      <c r="L81" s="56" t="s">
        <v>65</v>
      </c>
      <c r="M81" s="8">
        <f>+SUM(D27:M27)</f>
        <v>103.35119680845598</v>
      </c>
    </row>
    <row r="83" spans="12:13" x14ac:dyDescent="0.3">
      <c r="M83" s="8">
        <f>+M80-M81</f>
        <v>10.771453572439967</v>
      </c>
    </row>
  </sheetData>
  <pageMargins left="0.70866141732283505" right="0.70866141732283505" top="0.74803149606299202" bottom="0.74803149606299202" header="0.31496062992126" footer="0.31496062992126"/>
  <pageSetup paperSize="9" scale="75" orientation="landscape" horizontalDpi="4294967293" verticalDpi="4294967293" r:id="rId1"/>
  <headerFooter>
    <oddFooter>&amp;L&amp;D &amp;T&amp;CConcept Business Case
Harmonisch Wooncooperatie&amp;Rvs  1</oddFooter>
  </headerFooter>
  <colBreaks count="2" manualBreakCount="2">
    <brk id="13" max="1048575" man="1"/>
    <brk id="2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3" baseType="lpstr">
      <vt:lpstr>Blad1</vt:lpstr>
      <vt:lpstr>Blad1!Afdrukbereik</vt:lpstr>
      <vt:lpstr>Blad1!Afdruktitels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Rosner</dc:creator>
  <cp:lastModifiedBy>Michael Rosner</cp:lastModifiedBy>
  <cp:lastPrinted>2025-04-23T14:21:28Z</cp:lastPrinted>
  <dcterms:created xsi:type="dcterms:W3CDTF">2025-03-09T09:18:02Z</dcterms:created>
  <dcterms:modified xsi:type="dcterms:W3CDTF">2025-04-23T15:01:24Z</dcterms:modified>
</cp:coreProperties>
</file>