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customProperty3.bin" ContentType="application/vnd.openxmlformats-officedocument.spreadsheetml.customProperty"/>
  <Override PartName="/xl/customProperty4.bin" ContentType="application/vnd.openxmlformats-officedocument.spreadsheetml.customProperty"/>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0387"/>
  <workbookPr codeName="ThisWorkbook" defaultThemeVersion="124226"/>
  <mc:AlternateContent xmlns:mc="http://schemas.openxmlformats.org/markup-compatibility/2006">
    <mc:Choice Requires="x15">
      <x15ac:absPath xmlns:x15ac="http://schemas.microsoft.com/office/spreadsheetml/2010/11/ac" url="D:\Workspace\DE\AWS\AWS Certified Solutions Architect Associate (SAA-C02)\"/>
    </mc:Choice>
  </mc:AlternateContent>
  <xr:revisionPtr revIDLastSave="0" documentId="8_{45692E81-2A8B-49A8-A641-94A47761675E}" xr6:coauthVersionLast="36" xr6:coauthVersionMax="36" xr10:uidLastSave="{00000000-0000-0000-0000-000000000000}"/>
  <bookViews>
    <workbookView xWindow="32760" yWindow="32760" windowWidth="19200" windowHeight="7965"/>
  </bookViews>
  <sheets>
    <sheet name="Architecting on AWS_Syllabus" sheetId="7" r:id="rId1"/>
    <sheet name="AWS SA_Schedule_Offline" sheetId="8" r:id="rId2"/>
    <sheet name="Author and Rec of Changes" sheetId="9" r:id="rId3"/>
    <sheet name="DV-IDENTITY-0" sheetId="10" state="veryHidden" r:id="rId4"/>
  </sheets>
  <definedNames>
    <definedName name="_xlnm._FilterDatabase" localSheetId="1" hidden="1">'AWS SA_Schedule_Offline'!$A$2:$G$40</definedName>
  </definedNames>
  <calcPr calcId="191029"/>
</workbook>
</file>

<file path=xl/calcChain.xml><?xml version="1.0" encoding="utf-8"?>
<calcChain xmlns="http://schemas.openxmlformats.org/spreadsheetml/2006/main">
  <c r="E42" i="8" l="1"/>
  <c r="E47" i="8" s="1"/>
  <c r="A5" i="10"/>
  <c r="B5" i="10"/>
  <c r="C5" i="10"/>
  <c r="D5" i="10"/>
  <c r="E5" i="10"/>
  <c r="F5" i="10"/>
  <c r="G5" i="10"/>
  <c r="H5" i="10"/>
  <c r="I5" i="10"/>
  <c r="J5" i="10"/>
  <c r="K5" i="10"/>
  <c r="L5" i="10"/>
  <c r="M5" i="10"/>
  <c r="N5" i="10"/>
  <c r="O5" i="10"/>
  <c r="P5" i="10"/>
  <c r="Q5" i="10"/>
  <c r="A4" i="10"/>
  <c r="B4" i="10"/>
  <c r="C4" i="10"/>
  <c r="D4" i="10"/>
  <c r="E4" i="10"/>
  <c r="F4" i="10"/>
  <c r="G4" i="10"/>
  <c r="H4" i="10"/>
  <c r="I4" i="10"/>
  <c r="J4" i="10"/>
  <c r="K4" i="10"/>
  <c r="L4" i="10"/>
  <c r="M4" i="10"/>
  <c r="N4" i="10"/>
  <c r="O4" i="10"/>
  <c r="P4" i="10"/>
  <c r="Q4" i="10"/>
  <c r="R4" i="10"/>
  <c r="S4" i="10"/>
  <c r="T4" i="10"/>
  <c r="U4" i="10"/>
  <c r="V4" i="10"/>
  <c r="W4" i="10"/>
  <c r="X4" i="10"/>
  <c r="Y4" i="10"/>
  <c r="Z4" i="10"/>
  <c r="AA4" i="10"/>
  <c r="AB4" i="10"/>
  <c r="AC4" i="10"/>
  <c r="AD4" i="10"/>
  <c r="AE4" i="10"/>
  <c r="AF4" i="10"/>
  <c r="AG4" i="10"/>
  <c r="AH4" i="10"/>
  <c r="AI4" i="10"/>
  <c r="AM4" i="10"/>
  <c r="A3" i="10"/>
  <c r="B3" i="10"/>
  <c r="C3" i="10"/>
  <c r="D3" i="10"/>
  <c r="E3" i="10"/>
  <c r="F3" i="10"/>
  <c r="G3" i="10"/>
  <c r="H3" i="10"/>
  <c r="I3" i="10"/>
  <c r="J3" i="10"/>
  <c r="K3" i="10"/>
  <c r="L3" i="10"/>
  <c r="M3" i="10"/>
  <c r="N3" i="10"/>
  <c r="O3" i="10"/>
  <c r="P3" i="10"/>
  <c r="Q3" i="10"/>
  <c r="R3" i="10"/>
  <c r="S3" i="10"/>
  <c r="T3" i="10"/>
  <c r="U3" i="10"/>
  <c r="V3" i="10"/>
  <c r="W3" i="10"/>
  <c r="X3" i="10"/>
  <c r="Y3" i="10"/>
  <c r="Z3" i="10"/>
  <c r="AA3" i="10"/>
  <c r="AB3" i="10"/>
  <c r="AC3" i="10"/>
  <c r="AD3" i="10"/>
  <c r="AE3" i="10"/>
  <c r="AF3" i="10"/>
  <c r="AG3" i="10"/>
  <c r="AH3" i="10"/>
  <c r="AI3" i="10"/>
  <c r="AJ3" i="10"/>
  <c r="AK3" i="10"/>
  <c r="AL3" i="10"/>
  <c r="AM3" i="10"/>
  <c r="AN3" i="10"/>
  <c r="AO3" i="10"/>
  <c r="AP3" i="10"/>
  <c r="AQ3" i="10"/>
  <c r="AR3" i="10"/>
  <c r="AS3" i="10"/>
  <c r="AT3" i="10"/>
  <c r="AU3" i="10"/>
  <c r="AV3" i="10"/>
  <c r="AW3" i="10"/>
  <c r="AX3" i="10"/>
  <c r="AY3" i="10"/>
  <c r="AZ3" i="10"/>
  <c r="BA3" i="10"/>
  <c r="BB3" i="10"/>
  <c r="BC3" i="10"/>
  <c r="BD3" i="10"/>
  <c r="BE3" i="10"/>
  <c r="BF3" i="10"/>
  <c r="BG3" i="10"/>
  <c r="BH3" i="10"/>
  <c r="BI3" i="10"/>
  <c r="BJ3" i="10"/>
  <c r="BK3" i="10"/>
  <c r="BL3" i="10"/>
  <c r="BM3" i="10"/>
  <c r="BN3" i="10"/>
  <c r="BO3" i="10"/>
  <c r="BP3" i="10"/>
  <c r="BQ3" i="10"/>
  <c r="BR3" i="10"/>
  <c r="BS3" i="10"/>
  <c r="BT3" i="10"/>
  <c r="BU3" i="10"/>
  <c r="BV3" i="10"/>
  <c r="BW3" i="10"/>
  <c r="BX3" i="10"/>
  <c r="BY3" i="10"/>
  <c r="BZ3" i="10"/>
  <c r="CA3" i="10"/>
  <c r="CB3" i="10"/>
  <c r="CC3" i="10"/>
  <c r="CD3" i="10"/>
  <c r="CE3" i="10"/>
  <c r="CF3" i="10"/>
  <c r="CG3" i="10"/>
  <c r="CH3" i="10"/>
  <c r="CI3" i="10"/>
  <c r="CJ3" i="10"/>
  <c r="CK3" i="10"/>
  <c r="CL3" i="10"/>
  <c r="CM3" i="10"/>
  <c r="CN3" i="10"/>
  <c r="CO3" i="10"/>
  <c r="CP3" i="10"/>
  <c r="CQ3" i="10"/>
  <c r="CR3" i="10"/>
  <c r="CS3" i="10"/>
  <c r="CT3" i="10"/>
  <c r="CU3" i="10"/>
  <c r="CV3" i="10"/>
  <c r="CW3" i="10"/>
  <c r="CX3" i="10"/>
  <c r="CY3" i="10"/>
  <c r="CZ3" i="10"/>
  <c r="DA3" i="10"/>
  <c r="DB3" i="10"/>
  <c r="DC3" i="10"/>
  <c r="DD3" i="10"/>
  <c r="DE3" i="10"/>
  <c r="DF3" i="10"/>
  <c r="DG3" i="10"/>
  <c r="DH3" i="10"/>
  <c r="DI3" i="10"/>
  <c r="DJ3" i="10"/>
  <c r="DK3" i="10"/>
  <c r="DL3" i="10"/>
  <c r="DM3" i="10"/>
  <c r="DN3" i="10"/>
  <c r="DO3" i="10"/>
  <c r="DP3" i="10"/>
  <c r="DQ3" i="10"/>
  <c r="DR3" i="10"/>
  <c r="DS3" i="10"/>
  <c r="DT3" i="10"/>
  <c r="DU3" i="10"/>
  <c r="DV3" i="10"/>
  <c r="DW3" i="10"/>
  <c r="DX3" i="10"/>
  <c r="DY3" i="10"/>
  <c r="DZ3" i="10"/>
  <c r="EA3" i="10"/>
  <c r="EB3" i="10"/>
  <c r="EC3" i="10"/>
  <c r="ED3" i="10"/>
  <c r="EE3" i="10"/>
  <c r="EF3" i="10"/>
  <c r="EG3" i="10"/>
  <c r="EH3" i="10"/>
  <c r="EI3" i="10"/>
  <c r="EJ3" i="10"/>
  <c r="EK3" i="10"/>
  <c r="EL3" i="10"/>
  <c r="EM3" i="10"/>
  <c r="EN3" i="10"/>
  <c r="EO3" i="10"/>
  <c r="EP3" i="10"/>
  <c r="EQ3" i="10"/>
  <c r="ER3" i="10"/>
  <c r="ES3" i="10"/>
  <c r="ET3" i="10"/>
  <c r="EU3" i="10"/>
  <c r="EV3" i="10"/>
  <c r="EW3" i="10"/>
  <c r="EX3" i="10"/>
  <c r="EY3" i="10"/>
  <c r="EZ3" i="10"/>
  <c r="FA3" i="10"/>
  <c r="FB3" i="10"/>
  <c r="FC3" i="10"/>
  <c r="FD3" i="10"/>
  <c r="FE3" i="10"/>
  <c r="FF3" i="10"/>
  <c r="FG3" i="10"/>
  <c r="FH3" i="10"/>
  <c r="FI3" i="10"/>
  <c r="FJ3" i="10"/>
  <c r="FK3" i="10"/>
  <c r="FL3" i="10"/>
  <c r="FM3" i="10"/>
  <c r="FN3" i="10"/>
  <c r="FO3" i="10"/>
  <c r="FP3" i="10"/>
  <c r="FQ3" i="10"/>
  <c r="FR3" i="10"/>
  <c r="FS3" i="10"/>
  <c r="FT3" i="10"/>
  <c r="FU3" i="10"/>
  <c r="FV3" i="10"/>
  <c r="FW3" i="10"/>
  <c r="FX3" i="10"/>
  <c r="FY3" i="10"/>
  <c r="FZ3" i="10"/>
  <c r="GA3" i="10"/>
  <c r="GB3" i="10"/>
  <c r="GC3" i="10"/>
  <c r="GD3" i="10"/>
  <c r="GE3" i="10"/>
  <c r="GF3" i="10"/>
  <c r="GG3" i="10"/>
  <c r="GH3" i="10"/>
  <c r="GI3" i="10"/>
  <c r="GJ3" i="10"/>
  <c r="GK3" i="10"/>
  <c r="GL3" i="10"/>
  <c r="GM3" i="10"/>
  <c r="GN3" i="10"/>
  <c r="GO3" i="10"/>
  <c r="GP3" i="10"/>
  <c r="GQ3" i="10"/>
  <c r="GR3" i="10"/>
  <c r="GS3" i="10"/>
  <c r="GT3" i="10"/>
  <c r="GU3" i="10"/>
  <c r="GV3" i="10"/>
  <c r="GW3" i="10"/>
  <c r="GX3" i="10"/>
  <c r="GY3" i="10"/>
  <c r="GZ3" i="10"/>
  <c r="HA3" i="10"/>
  <c r="HB3" i="10"/>
  <c r="HC3" i="10"/>
  <c r="HD3" i="10"/>
  <c r="HE3" i="10"/>
  <c r="HF3" i="10"/>
  <c r="HG3" i="10"/>
  <c r="HH3" i="10"/>
  <c r="HI3" i="10"/>
  <c r="HJ3" i="10"/>
  <c r="HK3" i="10"/>
  <c r="HL3" i="10"/>
  <c r="HM3" i="10"/>
  <c r="HN3" i="10"/>
  <c r="HO3" i="10"/>
  <c r="HP3" i="10"/>
  <c r="HQ3" i="10"/>
  <c r="HR3" i="10"/>
  <c r="HS3" i="10"/>
  <c r="HT3" i="10"/>
  <c r="HU3" i="10"/>
  <c r="HV3" i="10"/>
  <c r="HW3" i="10"/>
  <c r="HX3" i="10"/>
  <c r="HY3" i="10"/>
  <c r="HZ3" i="10"/>
  <c r="IA3" i="10"/>
  <c r="IB3" i="10"/>
  <c r="IC3" i="10"/>
  <c r="ID3" i="10"/>
  <c r="IE3" i="10"/>
  <c r="IF3" i="10"/>
  <c r="IG3" i="10"/>
  <c r="IH3" i="10"/>
  <c r="II3" i="10"/>
  <c r="IJ3" i="10"/>
  <c r="IK3" i="10"/>
  <c r="IL3" i="10"/>
  <c r="IM3" i="10"/>
  <c r="IN3" i="10"/>
  <c r="IO3" i="10"/>
  <c r="IP3" i="10"/>
  <c r="IQ3" i="10"/>
  <c r="IR3" i="10"/>
  <c r="IS3" i="10"/>
  <c r="IT3" i="10"/>
  <c r="IU3" i="10"/>
  <c r="IV3" i="10"/>
  <c r="A2" i="10"/>
  <c r="B2" i="10"/>
  <c r="C2" i="10"/>
  <c r="D2" i="10"/>
  <c r="E2" i="10"/>
  <c r="F2" i="10"/>
  <c r="G2" i="10"/>
  <c r="H2" i="10"/>
  <c r="I2" i="10"/>
  <c r="J2" i="10"/>
  <c r="K2" i="10"/>
  <c r="L2" i="10"/>
  <c r="M2" i="10"/>
  <c r="N2" i="10"/>
  <c r="O2" i="10"/>
  <c r="P2" i="10"/>
  <c r="Q2" i="10"/>
  <c r="R2" i="10"/>
  <c r="S2" i="10"/>
  <c r="T2" i="10"/>
  <c r="U2" i="10"/>
  <c r="V2" i="10"/>
  <c r="W2" i="10"/>
  <c r="X2" i="10"/>
  <c r="Y2" i="10"/>
  <c r="Z2" i="10"/>
  <c r="AA2" i="10"/>
  <c r="AB2" i="10"/>
  <c r="AC2" i="10"/>
  <c r="AD2" i="10"/>
  <c r="AE2" i="10"/>
  <c r="AF2" i="10"/>
  <c r="AG2" i="10"/>
  <c r="AH2" i="10"/>
  <c r="AI2" i="10"/>
  <c r="AJ2" i="10"/>
  <c r="AK2" i="10"/>
  <c r="AL2" i="10"/>
  <c r="AM2" i="10"/>
  <c r="AN2" i="10"/>
  <c r="AO2" i="10"/>
  <c r="AP2" i="10"/>
  <c r="AQ2" i="10"/>
  <c r="AR2" i="10"/>
  <c r="AS2" i="10"/>
  <c r="AT2" i="10"/>
  <c r="AU2" i="10"/>
  <c r="AV2" i="10"/>
  <c r="AW2" i="10"/>
  <c r="AX2" i="10"/>
  <c r="AY2" i="10"/>
  <c r="AZ2" i="10"/>
  <c r="BA2" i="10"/>
  <c r="BB2" i="10"/>
  <c r="BC2" i="10"/>
  <c r="BD2" i="10"/>
  <c r="BE2" i="10"/>
  <c r="BF2" i="10"/>
  <c r="BG2" i="10"/>
  <c r="BH2" i="10"/>
  <c r="BI2" i="10"/>
  <c r="BJ2" i="10"/>
  <c r="BK2" i="10"/>
  <c r="BL2" i="10"/>
  <c r="BM2" i="10"/>
  <c r="BN2" i="10"/>
  <c r="BO2" i="10"/>
  <c r="BP2" i="10"/>
  <c r="BQ2" i="10"/>
  <c r="BR2" i="10"/>
  <c r="BS2" i="10"/>
  <c r="BT2" i="10"/>
  <c r="BU2" i="10"/>
  <c r="BV2" i="10"/>
  <c r="BW2" i="10"/>
  <c r="BX2" i="10"/>
  <c r="BY2" i="10"/>
  <c r="BZ2" i="10"/>
  <c r="CA2" i="10"/>
  <c r="CB2" i="10"/>
  <c r="CC2" i="10"/>
  <c r="CD2" i="10"/>
  <c r="CE2" i="10"/>
  <c r="CF2" i="10"/>
  <c r="CG2" i="10"/>
  <c r="CH2" i="10"/>
  <c r="CI2" i="10"/>
  <c r="CJ2" i="10"/>
  <c r="CK2" i="10"/>
  <c r="CL2" i="10"/>
  <c r="CM2" i="10"/>
  <c r="CN2" i="10"/>
  <c r="CO2" i="10"/>
  <c r="CP2" i="10"/>
  <c r="CQ2" i="10"/>
  <c r="CR2" i="10"/>
  <c r="CS2" i="10"/>
  <c r="CT2" i="10"/>
  <c r="CU2" i="10"/>
  <c r="CV2" i="10"/>
  <c r="CW2" i="10"/>
  <c r="CX2" i="10"/>
  <c r="CY2" i="10"/>
  <c r="CZ2" i="10"/>
  <c r="DA2" i="10"/>
  <c r="DB2" i="10"/>
  <c r="DC2" i="10"/>
  <c r="DD2" i="10"/>
  <c r="DE2" i="10"/>
  <c r="DF2" i="10"/>
  <c r="DG2" i="10"/>
  <c r="DH2" i="10"/>
  <c r="DI2" i="10"/>
  <c r="DJ2" i="10"/>
  <c r="DK2" i="10"/>
  <c r="DL2" i="10"/>
  <c r="DM2" i="10"/>
  <c r="DN2" i="10"/>
  <c r="DO2" i="10"/>
  <c r="DP2" i="10"/>
  <c r="DQ2" i="10"/>
  <c r="DR2" i="10"/>
  <c r="DS2" i="10"/>
  <c r="DT2" i="10"/>
  <c r="DU2" i="10"/>
  <c r="DV2" i="10"/>
  <c r="DW2" i="10"/>
  <c r="DX2" i="10"/>
  <c r="DY2" i="10"/>
  <c r="DZ2" i="10"/>
  <c r="EA2" i="10"/>
  <c r="EB2" i="10"/>
  <c r="EC2" i="10"/>
  <c r="ED2" i="10"/>
  <c r="EE2" i="10"/>
  <c r="EF2" i="10"/>
  <c r="EG2" i="10"/>
  <c r="EH2" i="10"/>
  <c r="EI2" i="10"/>
  <c r="EJ2" i="10"/>
  <c r="EK2" i="10"/>
  <c r="EL2" i="10"/>
  <c r="EM2" i="10"/>
  <c r="EN2" i="10"/>
  <c r="EO2" i="10"/>
  <c r="EP2" i="10"/>
  <c r="EQ2" i="10"/>
  <c r="ER2" i="10"/>
  <c r="ES2" i="10"/>
  <c r="ET2" i="10"/>
  <c r="EU2" i="10"/>
  <c r="EV2" i="10"/>
  <c r="EW2" i="10"/>
  <c r="EX2" i="10"/>
  <c r="EY2" i="10"/>
  <c r="EZ2" i="10"/>
  <c r="FA2" i="10"/>
  <c r="FB2" i="10"/>
  <c r="FC2" i="10"/>
  <c r="FD2" i="10"/>
  <c r="FE2" i="10"/>
  <c r="FF2" i="10"/>
  <c r="FG2" i="10"/>
  <c r="FH2" i="10"/>
  <c r="FI2" i="10"/>
  <c r="FJ2" i="10"/>
  <c r="FK2" i="10"/>
  <c r="FL2" i="10"/>
  <c r="FM2" i="10"/>
  <c r="FN2" i="10"/>
  <c r="FO2" i="10"/>
  <c r="FP2" i="10"/>
  <c r="FQ2" i="10"/>
  <c r="FR2" i="10"/>
  <c r="FS2" i="10"/>
  <c r="FT2" i="10"/>
  <c r="FU2" i="10"/>
  <c r="FV2" i="10"/>
  <c r="FW2" i="10"/>
  <c r="FX2" i="10"/>
  <c r="FY2" i="10"/>
  <c r="FZ2" i="10"/>
  <c r="GA2" i="10"/>
  <c r="GB2" i="10"/>
  <c r="GC2" i="10"/>
  <c r="GD2" i="10"/>
  <c r="GE2" i="10"/>
  <c r="GF2" i="10"/>
  <c r="GG2" i="10"/>
  <c r="GH2" i="10"/>
  <c r="GI2" i="10"/>
  <c r="GJ2" i="10"/>
  <c r="GK2" i="10"/>
  <c r="GL2" i="10"/>
  <c r="GM2" i="10"/>
  <c r="GN2" i="10"/>
  <c r="GO2" i="10"/>
  <c r="GP2" i="10"/>
  <c r="GQ2" i="10"/>
  <c r="GR2" i="10"/>
  <c r="GS2" i="10"/>
  <c r="GT2" i="10"/>
  <c r="GU2" i="10"/>
  <c r="GV2" i="10"/>
  <c r="GW2" i="10"/>
  <c r="GX2" i="10"/>
  <c r="GY2" i="10"/>
  <c r="GZ2" i="10"/>
  <c r="HA2" i="10"/>
  <c r="HB2" i="10"/>
  <c r="HC2" i="10"/>
  <c r="HD2" i="10"/>
  <c r="HE2" i="10"/>
  <c r="HF2" i="10"/>
  <c r="HG2" i="10"/>
  <c r="HH2" i="10"/>
  <c r="HI2" i="10"/>
  <c r="HJ2" i="10"/>
  <c r="HK2" i="10"/>
  <c r="HL2" i="10"/>
  <c r="HM2" i="10"/>
  <c r="HN2" i="10"/>
  <c r="HO2" i="10"/>
  <c r="HP2" i="10"/>
  <c r="HQ2" i="10"/>
  <c r="HR2" i="10"/>
  <c r="HS2" i="10"/>
  <c r="HT2" i="10"/>
  <c r="HU2" i="10"/>
  <c r="HV2" i="10"/>
  <c r="HW2" i="10"/>
  <c r="HX2" i="10"/>
  <c r="HY2" i="10"/>
  <c r="HZ2" i="10"/>
  <c r="IA2" i="10"/>
  <c r="IB2" i="10"/>
  <c r="IC2" i="10"/>
  <c r="ID2" i="10"/>
  <c r="IE2" i="10"/>
  <c r="IF2" i="10"/>
  <c r="IG2" i="10"/>
  <c r="IH2" i="10"/>
  <c r="II2" i="10"/>
  <c r="IJ2" i="10"/>
  <c r="IK2" i="10"/>
  <c r="IL2" i="10"/>
  <c r="IM2" i="10"/>
  <c r="IN2" i="10"/>
  <c r="IO2" i="10"/>
  <c r="IP2" i="10"/>
  <c r="IQ2" i="10"/>
  <c r="IR2" i="10"/>
  <c r="IS2" i="10"/>
  <c r="IT2" i="10"/>
  <c r="IU2" i="10"/>
  <c r="IV2" i="10"/>
  <c r="A1" i="10"/>
  <c r="B1" i="10"/>
  <c r="C1" i="10"/>
  <c r="D1" i="10"/>
  <c r="E1" i="10"/>
  <c r="F1" i="10"/>
  <c r="G1" i="10"/>
  <c r="H1" i="10"/>
  <c r="I1" i="10"/>
  <c r="J1" i="10"/>
  <c r="K1" i="10"/>
  <c r="L1" i="10"/>
  <c r="M1" i="10"/>
  <c r="N1" i="10"/>
  <c r="O1" i="10"/>
  <c r="P1" i="10"/>
  <c r="Q1" i="10"/>
  <c r="R1" i="10"/>
  <c r="S1" i="10"/>
  <c r="T1" i="10"/>
  <c r="U1" i="10"/>
  <c r="V1" i="10"/>
  <c r="W1" i="10"/>
  <c r="X1" i="10"/>
  <c r="Y1" i="10"/>
  <c r="Z1" i="10"/>
  <c r="AA1" i="10"/>
  <c r="AB1" i="10"/>
  <c r="AC1" i="10"/>
  <c r="AD1" i="10"/>
  <c r="AE1" i="10"/>
  <c r="AF1" i="10"/>
  <c r="AG1" i="10"/>
  <c r="AH1" i="10"/>
  <c r="AI1" i="10"/>
  <c r="AJ1" i="10"/>
  <c r="AK1" i="10"/>
  <c r="AL1" i="10"/>
  <c r="AM1" i="10"/>
  <c r="AN1" i="10"/>
  <c r="AO1" i="10"/>
  <c r="AP1" i="10"/>
  <c r="AQ1" i="10"/>
  <c r="AR1" i="10"/>
  <c r="AS1" i="10"/>
  <c r="AT1" i="10"/>
  <c r="AU1" i="10"/>
  <c r="AV1" i="10"/>
  <c r="AW1" i="10"/>
  <c r="AX1" i="10"/>
  <c r="AY1" i="10"/>
  <c r="AZ1" i="10"/>
  <c r="BA1" i="10"/>
  <c r="BB1" i="10"/>
  <c r="BC1" i="10"/>
  <c r="BD1" i="10"/>
  <c r="BE1" i="10"/>
  <c r="BF1" i="10"/>
  <c r="BG1" i="10"/>
  <c r="BH1" i="10"/>
  <c r="BI1" i="10"/>
  <c r="BJ1" i="10"/>
  <c r="BK1" i="10"/>
  <c r="BL1" i="10"/>
  <c r="BM1" i="10"/>
  <c r="BN1" i="10"/>
  <c r="BO1" i="10"/>
  <c r="BP1" i="10"/>
  <c r="BQ1" i="10"/>
  <c r="BR1" i="10"/>
  <c r="BS1" i="10"/>
  <c r="BT1" i="10"/>
  <c r="BU1" i="10"/>
  <c r="BV1" i="10"/>
  <c r="BW1" i="10"/>
  <c r="BX1" i="10"/>
  <c r="BY1" i="10"/>
  <c r="BZ1" i="10"/>
  <c r="CA1" i="10"/>
  <c r="CB1" i="10"/>
  <c r="CC1" i="10"/>
  <c r="CD1" i="10"/>
  <c r="CE1" i="10"/>
  <c r="CF1" i="10"/>
  <c r="CG1" i="10"/>
  <c r="CH1" i="10"/>
  <c r="CI1" i="10"/>
  <c r="CJ1" i="10"/>
  <c r="CK1" i="10"/>
  <c r="CL1" i="10"/>
  <c r="CM1" i="10"/>
  <c r="CN1" i="10"/>
  <c r="CO1" i="10"/>
  <c r="CP1" i="10"/>
  <c r="CQ1" i="10"/>
  <c r="CR1" i="10"/>
  <c r="CS1" i="10"/>
  <c r="CT1" i="10"/>
  <c r="CU1" i="10"/>
  <c r="CV1" i="10"/>
  <c r="CW1" i="10"/>
  <c r="CX1" i="10"/>
  <c r="CY1" i="10"/>
  <c r="CZ1" i="10"/>
  <c r="DA1" i="10"/>
  <c r="DB1" i="10"/>
  <c r="DC1" i="10"/>
  <c r="DD1" i="10"/>
  <c r="DE1" i="10"/>
  <c r="DF1" i="10"/>
  <c r="DG1" i="10"/>
  <c r="DH1" i="10"/>
  <c r="DI1" i="10"/>
  <c r="DJ1" i="10"/>
  <c r="DK1" i="10"/>
  <c r="DL1" i="10"/>
  <c r="DM1" i="10"/>
  <c r="DN1" i="10"/>
  <c r="DO1" i="10"/>
  <c r="DP1" i="10"/>
  <c r="DQ1" i="10"/>
  <c r="DR1" i="10"/>
  <c r="DS1" i="10"/>
  <c r="DT1" i="10"/>
  <c r="DU1" i="10"/>
  <c r="DV1" i="10"/>
  <c r="DW1" i="10"/>
  <c r="DX1" i="10"/>
  <c r="DY1" i="10"/>
  <c r="DZ1" i="10"/>
  <c r="EA1" i="10"/>
  <c r="EB1" i="10"/>
  <c r="EC1" i="10"/>
  <c r="ED1" i="10"/>
  <c r="EE1" i="10"/>
  <c r="EF1" i="10"/>
  <c r="EG1" i="10"/>
  <c r="EH1" i="10"/>
  <c r="EI1" i="10"/>
  <c r="EJ1" i="10"/>
  <c r="EK1" i="10"/>
  <c r="EL1" i="10"/>
  <c r="EM1" i="10"/>
  <c r="EN1" i="10"/>
  <c r="EO1" i="10"/>
  <c r="EP1" i="10"/>
  <c r="EQ1" i="10"/>
  <c r="ER1" i="10"/>
  <c r="ES1" i="10"/>
  <c r="ET1" i="10"/>
  <c r="EU1" i="10"/>
  <c r="EV1" i="10"/>
  <c r="EW1" i="10"/>
  <c r="EX1" i="10"/>
  <c r="EY1" i="10"/>
  <c r="EZ1" i="10"/>
  <c r="FA1" i="10"/>
  <c r="FB1" i="10"/>
  <c r="FC1" i="10"/>
  <c r="FD1" i="10"/>
  <c r="FE1" i="10"/>
  <c r="FF1" i="10"/>
  <c r="FG1" i="10"/>
  <c r="FH1" i="10"/>
  <c r="FI1" i="10"/>
  <c r="FJ1" i="10"/>
  <c r="FK1" i="10"/>
  <c r="FL1" i="10"/>
  <c r="FM1" i="10"/>
  <c r="FN1" i="10"/>
  <c r="FO1" i="10"/>
  <c r="FP1" i="10"/>
  <c r="FQ1" i="10"/>
  <c r="FR1" i="10"/>
  <c r="FS1" i="10"/>
  <c r="FT1" i="10"/>
  <c r="FU1" i="10"/>
  <c r="FV1" i="10"/>
  <c r="FW1" i="10"/>
  <c r="FX1" i="10"/>
  <c r="FY1" i="10"/>
  <c r="FZ1" i="10"/>
  <c r="GA1" i="10"/>
  <c r="GB1" i="10"/>
  <c r="GC1" i="10"/>
  <c r="GD1" i="10"/>
  <c r="GE1" i="10"/>
  <c r="GF1" i="10"/>
  <c r="GG1" i="10"/>
  <c r="GH1" i="10"/>
  <c r="GI1" i="10"/>
  <c r="GJ1" i="10"/>
  <c r="GK1" i="10"/>
  <c r="GL1" i="10"/>
  <c r="GM1" i="10"/>
  <c r="GN1" i="10"/>
  <c r="GO1" i="10"/>
  <c r="GP1" i="10"/>
  <c r="GQ1" i="10"/>
  <c r="GR1" i="10"/>
  <c r="GS1" i="10"/>
  <c r="GT1" i="10"/>
  <c r="GU1" i="10"/>
  <c r="GV1" i="10"/>
  <c r="GW1" i="10"/>
  <c r="GX1" i="10"/>
  <c r="GY1" i="10"/>
  <c r="GZ1" i="10"/>
  <c r="HA1" i="10"/>
  <c r="HB1" i="10"/>
  <c r="HC1" i="10"/>
  <c r="HD1" i="10"/>
  <c r="HE1" i="10"/>
  <c r="HF1" i="10"/>
  <c r="HG1" i="10"/>
  <c r="HH1" i="10"/>
  <c r="HI1" i="10"/>
  <c r="HJ1" i="10"/>
  <c r="HK1" i="10"/>
  <c r="HL1" i="10"/>
  <c r="HM1" i="10"/>
  <c r="HN1" i="10"/>
  <c r="HO1" i="10"/>
  <c r="HP1" i="10"/>
  <c r="HQ1" i="10"/>
  <c r="HR1" i="10"/>
  <c r="HS1" i="10"/>
  <c r="HT1" i="10"/>
  <c r="HU1" i="10"/>
  <c r="HV1" i="10"/>
  <c r="HW1" i="10"/>
  <c r="HX1" i="10"/>
  <c r="HY1" i="10"/>
  <c r="HZ1" i="10"/>
  <c r="IA1" i="10"/>
  <c r="IB1" i="10"/>
  <c r="IC1" i="10"/>
  <c r="ID1" i="10"/>
  <c r="IE1" i="10"/>
  <c r="IF1" i="10"/>
  <c r="IG1" i="10"/>
  <c r="IH1" i="10"/>
  <c r="II1" i="10"/>
  <c r="IJ1" i="10"/>
  <c r="IK1" i="10"/>
  <c r="IL1" i="10"/>
  <c r="IM1" i="10"/>
  <c r="IN1" i="10"/>
  <c r="IO1" i="10"/>
  <c r="IP1" i="10"/>
  <c r="IQ1" i="10"/>
  <c r="IR1" i="10"/>
  <c r="IS1" i="10"/>
  <c r="IT1" i="10"/>
  <c r="IU1" i="10"/>
  <c r="IV1" i="10"/>
  <c r="E43" i="8"/>
  <c r="F43" i="8" s="1"/>
  <c r="D11" i="7" s="1"/>
  <c r="E44" i="8"/>
  <c r="F44" i="8" s="1"/>
  <c r="D12" i="7" s="1"/>
  <c r="E46" i="8"/>
  <c r="F46" i="8" s="1"/>
  <c r="D14" i="7" s="1"/>
  <c r="E45" i="8"/>
  <c r="F45" i="8" s="1"/>
  <c r="D13" i="7" s="1"/>
  <c r="F42" i="8" l="1"/>
  <c r="D10" i="7" l="1"/>
  <c r="F47" i="8"/>
</calcChain>
</file>

<file path=xl/sharedStrings.xml><?xml version="1.0" encoding="utf-8"?>
<sst xmlns="http://schemas.openxmlformats.org/spreadsheetml/2006/main" count="257" uniqueCount="163">
  <si>
    <t>Unit</t>
  </si>
  <si>
    <t>Notes</t>
  </si>
  <si>
    <t>References</t>
  </si>
  <si>
    <t>RECORD OF CHANGES</t>
  </si>
  <si>
    <t>*A - Added M - Modified D - Deleted</t>
  </si>
  <si>
    <t>Date</t>
  </si>
  <si>
    <t>Changes</t>
  </si>
  <si>
    <t>Contents</t>
  </si>
  <si>
    <t>Version</t>
  </si>
  <si>
    <t>A*
M, D</t>
  </si>
  <si>
    <t>Day</t>
  </si>
  <si>
    <t>Topic Code</t>
  </si>
  <si>
    <t>Topic Name</t>
  </si>
  <si>
    <t>Training Audience</t>
  </si>
  <si>
    <t>Course Objectives</t>
  </si>
  <si>
    <t>Topic Outline</t>
  </si>
  <si>
    <t>Time Allocation</t>
  </si>
  <si>
    <t>Concept/Lecture</t>
  </si>
  <si>
    <t>Assignment/Lab</t>
  </si>
  <si>
    <t>Test/Quiz</t>
  </si>
  <si>
    <t>Guides/Review</t>
  </si>
  <si>
    <t>Text book</t>
  </si>
  <si>
    <t>Technical requirements</t>
  </si>
  <si>
    <t>Assessment Scheme</t>
  </si>
  <si>
    <t>Quiz</t>
  </si>
  <si>
    <t>Assignments</t>
  </si>
  <si>
    <t>Final Test</t>
  </si>
  <si>
    <t>Passing criteria</t>
  </si>
  <si>
    <t>Name</t>
  </si>
  <si>
    <t>Training Materials &amp; Environments</t>
  </si>
  <si>
    <t>Training Delivery Principles</t>
  </si>
  <si>
    <t>Re-Test</t>
  </si>
  <si>
    <t>Trainees</t>
  </si>
  <si>
    <t>Trainer</t>
  </si>
  <si>
    <t>Training</t>
  </si>
  <si>
    <t>Others</t>
  </si>
  <si>
    <t>AUTHORSHIP</t>
  </si>
  <si>
    <t>Role</t>
  </si>
  <si>
    <t>Day1</t>
  </si>
  <si>
    <t>Day2</t>
  </si>
  <si>
    <t>Delivery Type</t>
  </si>
  <si>
    <t>Training Materials / Logistics &amp; General Notes
(Required, For Reference, etc.)</t>
  </si>
  <si>
    <t>Total</t>
  </si>
  <si>
    <t>Exam</t>
  </si>
  <si>
    <t>Marking</t>
  </si>
  <si>
    <t>&lt;Concepts, theory&gt;</t>
  </si>
  <si>
    <t>&lt;Assignment, Lab&gt;</t>
  </si>
  <si>
    <t>&lt;Quiz, assignment review
Assignment guides&gt;</t>
  </si>
  <si>
    <t>&lt;Daily quiz&gt;</t>
  </si>
  <si>
    <t>&lt;Pre-Test, Final Topic Test&gt;</t>
  </si>
  <si>
    <t>AAAAAH/rVCM=</t>
  </si>
  <si>
    <t>AAAAAH/rVCQ=</t>
  </si>
  <si>
    <t>AAAAAH/rVCU=</t>
  </si>
  <si>
    <t>Creator</t>
  </si>
  <si>
    <t>Reviewer</t>
  </si>
  <si>
    <t>Approver</t>
  </si>
  <si>
    <t>Waiver Criteria</t>
  </si>
  <si>
    <t>Learning Objectives</t>
  </si>
  <si>
    <t>Account</t>
  </si>
  <si>
    <t>v1.0</t>
  </si>
  <si>
    <t>Topics</t>
  </si>
  <si>
    <t>Create new</t>
  </si>
  <si>
    <t>A</t>
  </si>
  <si>
    <t>All</t>
  </si>
  <si>
    <t>1.0</t>
  </si>
  <si>
    <t>N/A</t>
  </si>
  <si>
    <t>Final test&gt;= 21/30 (70%)
Attendant &gt;=80% of training time</t>
  </si>
  <si>
    <t xml:space="preserve">&lt;= 20 trainees in a class
</t>
  </si>
  <si>
    <t>1 time</t>
  </si>
  <si>
    <t xml:space="preserve">
Students prepare their own labtops</t>
  </si>
  <si>
    <t>In details, after completing the course, trainees will:
• Be teached how to setup server, storage, network and database on AWS through hands-on lab activities
• Be teached how to automatically scale server and storages when demand increases. And learn how to automate the infrastructure deployment and decouple the infrastructure with managed services, microservices and serverless architecture.
• Be teached on what AWS services to use when they migrate their application to the cloud. Provide a migration roadmap and showcases architectural best practices in setting up a highly available and fault tolerant infrastructure that scales automatically and is cost efficient.
• Be learned on understanding and applying the AWS Well-Architected Framework. Learn the principles of the framework, strategies for implementing each principle, and fix a flawed architectural diagram and brainstorm solutions that will improve that architecture based around the pillar discussed.
• Be learned about how the exam is structured and how to interpret questions. And get practice with real exam questions</t>
  </si>
  <si>
    <t>Experience trainer and has AWS certificate(s)</t>
  </si>
  <si>
    <t xml:space="preserve">Trainer guides students to create practice environments </t>
  </si>
  <si>
    <t>Duration (hour)</t>
  </si>
  <si>
    <t>Quiz 1</t>
  </si>
  <si>
    <t>Quiz 2</t>
  </si>
  <si>
    <t>Day3</t>
  </si>
  <si>
    <t>Quiz 3</t>
  </si>
  <si>
    <t>Day4</t>
  </si>
  <si>
    <t>Day5</t>
  </si>
  <si>
    <t>Review Assignment</t>
  </si>
  <si>
    <t>Exam Preparation &amp; Tips</t>
  </si>
  <si>
    <t>Design end to end solution for migrating the system in a company into cloud using AWS</t>
  </si>
  <si>
    <t>&lt;05 days duration&gt;</t>
  </si>
  <si>
    <t xml:space="preserve">Architecting on AWS </t>
  </si>
  <si>
    <t>Architecting on AWS  - Syllabus</t>
  </si>
  <si>
    <t xml:space="preserve">What is Amazon VPC?
Subnets, gateways, and routes
Advanced Features
CIDR Notation
Lab practice
</t>
  </si>
  <si>
    <t>Building Your First Amazon Virtual Private Cloud (VPC)</t>
  </si>
  <si>
    <t xml:space="preserve">AWS Basic Knowledge
Study + hands-on experience on main services
Read books, whitepapers
Watch webinars, reinvents
Online Courses
References
</t>
  </si>
  <si>
    <t>Five benefits of the cloud
Seven best practices for building systems with AWS</t>
  </si>
  <si>
    <t xml:space="preserve">A basic overview of launching, resizing, managing, and monitoring an Amazon EC2 instance </t>
  </si>
  <si>
    <t>AWS knowledge check</t>
  </si>
  <si>
    <t>Authentication, authorization, and where they apply
Authentication to AWS Service APIs
Authorization Policies
Temporary credentials with the Security Token Service
Service – specific, OS, and application authentication</t>
  </si>
  <si>
    <t>Introduction to AWS Identity and Access Management (IAM)</t>
  </si>
  <si>
    <t>AWS products for network content and delivery
AWS products for deployment and management</t>
  </si>
  <si>
    <t>Caching Static Files with Amazon CloudFront</t>
  </si>
  <si>
    <t>Working with Elastic Load Balancing</t>
  </si>
  <si>
    <t>Basic tenets of AWS
Patterns and (anti-patterns) for creating scalable architectures in AWS
Bootstrapping EC2 Instances
Building with CloudFormation
Components of Auto Scaling</t>
  </si>
  <si>
    <t>Data storage options
Amazon EBS
Instance storage
Amazon S3 and Amazon CloudFront</t>
  </si>
  <si>
    <t>This lab introduces you to Amazon Elastic Block Store (EBS) using the AWS Management Console</t>
  </si>
  <si>
    <t>AWS application services
Roles of application services in AWS architecture</t>
  </si>
  <si>
    <t>Creating an Amazon Virtual Private Cloud (VPC) with AWS CloudFormation</t>
  </si>
  <si>
    <t>quiz</t>
  </si>
  <si>
    <t>Cost model
Services and feature costs
Billing options
Best practices</t>
  </si>
  <si>
    <t>Launching Amazon EC2 Spot Instances with Auto Scaling and Amazon CloudWatch</t>
  </si>
  <si>
    <t>How High Availability and Disaster Recovery work together
Building highly available systems on AWS
Best practices for high availability and disaster recovery
Common patterns of disaster recovery on AWS</t>
  </si>
  <si>
    <t>Maintaining High Availability with Auto Scaling (for Linux)</t>
  </si>
  <si>
    <t>Defining cloud strategies
Planning migrations
Deploying applications
Optimizing applications</t>
  </si>
  <si>
    <t>Reference architecture</t>
  </si>
  <si>
    <t>Review assignment</t>
  </si>
  <si>
    <t>Final test</t>
  </si>
  <si>
    <t>Review Practical Exam</t>
  </si>
  <si>
    <t>Lab01. Building Your First Amazon Virtual Private Cloud (VPC)</t>
  </si>
  <si>
    <t>Lab02. Creating an Amazon Virtual Private Cloud (VPC) with AWS
CloudFormation</t>
  </si>
  <si>
    <t>Module 04. EC2 - Advanced Features</t>
  </si>
  <si>
    <t xml:space="preserve">Before Getting Started
Instance Types
Instance Lifecycle
Placement Groups
Instance Purchasing Options
Included Metrics
Auto Recovery
</t>
  </si>
  <si>
    <t xml:space="preserve">quiz chưa có đáp án
</t>
  </si>
  <si>
    <t>Home exercise
Group exercise</t>
  </si>
  <si>
    <t>Lab03. Creating Amazon EC2 Instances with Microsoft Windows</t>
  </si>
  <si>
    <t>Review &amp; Support Labs</t>
  </si>
  <si>
    <t>Review quiz &amp; Support La01, Lab02, Lab03</t>
  </si>
  <si>
    <t>Module 05.Security and Compliance</t>
  </si>
  <si>
    <t>Module 00.Course Study Guide</t>
  </si>
  <si>
    <t>Module 01.Knowledge Check</t>
  </si>
  <si>
    <t>Module 02.Architecting in the Cloud</t>
  </si>
  <si>
    <t>Module 03.Amazon VPC</t>
  </si>
  <si>
    <t>Module 06.Identity, Authentication, and Authorization</t>
  </si>
  <si>
    <t>Lab04. Introduction to AWS Identity and Access Management (IAM)</t>
  </si>
  <si>
    <t>Module 07.Overview of Services for Web Application</t>
  </si>
  <si>
    <t>Lab05. Caching Static Files with Amazon CloudFront</t>
  </si>
  <si>
    <t>Module 08.Elasticity, Scalability, and Bootstrapping</t>
  </si>
  <si>
    <t>Lab06. Working with Elastic Load Balancing</t>
  </si>
  <si>
    <t>quiz chưa có đáp án</t>
  </si>
  <si>
    <t>Review quiz &amp; Support Lab04, Lab05, Lab06</t>
  </si>
  <si>
    <t>Module 09.Data Storage Scaling</t>
  </si>
  <si>
    <t>Lab07. Introduction to Amazon Elastic Block Store(EBS)</t>
  </si>
  <si>
    <t>Module 10.Overview of Application Services</t>
  </si>
  <si>
    <t>Module 11.Designing for Cost</t>
  </si>
  <si>
    <t>Lab08. Introduction to Amazon EC2 Auto Scaling</t>
  </si>
  <si>
    <t>Review quiz &amp; Support Lab07, Lab08</t>
  </si>
  <si>
    <t>Module 12.Disaster Recovery and High Availability</t>
  </si>
  <si>
    <t>Lab09. Maintaining High Availability with Auto Scaling (for Linux)</t>
  </si>
  <si>
    <t>Module 13.Migrating Applications to the AWS Cloud</t>
  </si>
  <si>
    <t>Module 14.Reference architecture</t>
  </si>
  <si>
    <t>Project Assignment</t>
  </si>
  <si>
    <t>Review quiz &amp; Support Lab09</t>
  </si>
  <si>
    <t>Module 15.Whitepapers_Well Architected Framework</t>
  </si>
  <si>
    <t>Group assignment
home work</t>
  </si>
  <si>
    <t>General Design Principles
Five Pillars of the Framework</t>
  </si>
  <si>
    <t>- Have knowleadge AWS Technical Essentials (passed Cloud Essentials for Developers course)
- Working knowledge of distributed systems
- Familiarity with general networking concepts
- Working knowledge of multi-tier architectures
- Familiarity with cloud computing concepts
- Dev 3 level up</t>
  </si>
  <si>
    <t>1. Course Study Guide
2. Knowledge check
2. Architecting in the Cloud
3. Amazon VPC
4. EC2 Advanced Features
5. Security and Compliance
6. Identity, Authentication, and Authorization
7. Overview of Services for Web Applications
8. Elasticity Scalability and Bốttrapping
10. Overview of Application Services
11. Designing for Cost
12. Disaster Recovery and High Avaiability
13. Migrating Applications to the AWS Cloud
14. Reference Architectures
15. Whitepapers - Well Architected Framework</t>
  </si>
  <si>
    <t xml:space="preserve">3 quizzes </t>
  </si>
  <si>
    <t>9 Labs and 1 final project</t>
  </si>
  <si>
    <t>30 questions in 60 minutes</t>
  </si>
  <si>
    <t>Nguyễn Xuân Lợi</t>
  </si>
  <si>
    <t>LoiNX</t>
  </si>
  <si>
    <t>Văn Thị Kim Ngân</t>
  </si>
  <si>
    <t>NganVK</t>
  </si>
  <si>
    <t>CTC</t>
  </si>
  <si>
    <t>FHN.FHS</t>
  </si>
  <si>
    <t>30 questions</t>
  </si>
  <si>
    <t>home work</t>
  </si>
  <si>
    <t>The shared responsibility security model
AWS role in security
Your role in security
Securing networks with Security Groups
Mitigating Common Threats on AWS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</si>
</sst>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0.0"/>
  </numFmts>
  <fonts count="14">
    <font>
      <sz val="10"/>
      <color theme="1"/>
      <name val="Arial"/>
      <family val="2"/>
    </font>
    <font>
      <sz val="10"/>
      <color indexed="8"/>
      <name val="Arial"/>
      <family val="2"/>
    </font>
    <font>
      <sz val="11"/>
      <color indexed="8"/>
      <name val="Calibri"/>
      <family val="2"/>
    </font>
    <font>
      <sz val="8"/>
      <name val="Arial"/>
      <family val="2"/>
    </font>
    <font>
      <b/>
      <sz val="14"/>
      <name val="Aarial"/>
    </font>
    <font>
      <b/>
      <sz val="10"/>
      <name val="Aarial"/>
    </font>
    <font>
      <sz val="10"/>
      <name val="Aarial"/>
    </font>
    <font>
      <i/>
      <sz val="10"/>
      <name val="Aarial"/>
    </font>
    <font>
      <b/>
      <i/>
      <sz val="10"/>
      <name val="Aarial"/>
    </font>
    <font>
      <b/>
      <sz val="14"/>
      <name val="Arial"/>
      <family val="2"/>
    </font>
    <font>
      <b/>
      <sz val="10"/>
      <name val="Arial"/>
      <family val="2"/>
    </font>
    <font>
      <b/>
      <sz val="10"/>
      <color indexed="8"/>
      <name val="Arial"/>
      <family val="2"/>
    </font>
    <font>
      <sz val="10"/>
      <name val="Arial"/>
      <family val="2"/>
    </font>
    <font>
      <sz val="11"/>
      <color theme="1"/>
      <name val="Calibri"/>
      <family val="2"/>
      <scheme val="minor"/>
    </font>
  </fonts>
  <fills count="4">
    <fill>
      <patternFill patternType="none"/>
    </fill>
    <fill>
      <patternFill patternType="gray125"/>
    </fill>
    <fill>
      <patternFill patternType="solid">
        <fgColor rgb="FFCCFFCC"/>
        <bgColor indexed="64"/>
      </patternFill>
    </fill>
    <fill>
      <patternFill patternType="solid">
        <fgColor theme="0"/>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hair">
        <color indexed="64"/>
      </left>
      <right style="hair">
        <color indexed="64"/>
      </right>
      <top style="hair">
        <color indexed="64"/>
      </top>
      <bottom style="hair">
        <color indexed="64"/>
      </bottom>
      <diagonal/>
    </border>
    <border>
      <left style="thin">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hair">
        <color indexed="64"/>
      </right>
      <top style="hair">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style="hair">
        <color indexed="64"/>
      </left>
      <right style="thin">
        <color indexed="64"/>
      </right>
      <top style="thin">
        <color indexed="64"/>
      </top>
      <bottom style="hair">
        <color indexed="64"/>
      </bottom>
      <diagonal/>
    </border>
    <border>
      <left style="hair">
        <color indexed="64"/>
      </left>
      <right style="thin">
        <color indexed="64"/>
      </right>
      <top style="hair">
        <color indexed="64"/>
      </top>
      <bottom style="hair">
        <color indexed="64"/>
      </bottom>
      <diagonal/>
    </border>
    <border>
      <left style="hair">
        <color indexed="64"/>
      </left>
      <right style="thin">
        <color indexed="64"/>
      </right>
      <top style="hair">
        <color indexed="64"/>
      </top>
      <bottom style="thin">
        <color indexed="64"/>
      </bottom>
      <diagonal/>
    </border>
    <border>
      <left style="thin">
        <color indexed="64"/>
      </left>
      <right style="hair">
        <color indexed="64"/>
      </right>
      <top style="hair">
        <color indexed="64"/>
      </top>
      <bottom style="thin">
        <color indexed="64"/>
      </bottom>
      <diagonal/>
    </border>
    <border>
      <left style="thin">
        <color indexed="64"/>
      </left>
      <right/>
      <top style="thin">
        <color indexed="64"/>
      </top>
      <bottom style="thin">
        <color indexed="64"/>
      </bottom>
      <diagonal/>
    </border>
    <border>
      <left/>
      <right style="thin">
        <color theme="4" tint="0.39997558519241921"/>
      </right>
      <top style="thin">
        <color theme="4" tint="0.39997558519241921"/>
      </top>
      <bottom style="thin">
        <color theme="4" tint="0.39997558519241921"/>
      </bottom>
      <diagonal/>
    </border>
  </borders>
  <cellStyleXfs count="4">
    <xf numFmtId="0" fontId="0" fillId="0" borderId="0"/>
    <xf numFmtId="0" fontId="13" fillId="0" borderId="0"/>
    <xf numFmtId="0" fontId="12" fillId="0" borderId="0"/>
    <xf numFmtId="9" fontId="2" fillId="0" borderId="0" applyFont="0" applyFill="0" applyBorder="0" applyAlignment="0" applyProtection="0"/>
  </cellStyleXfs>
  <cellXfs count="79">
    <xf numFmtId="0" fontId="0" fillId="0" borderId="0" xfId="0"/>
    <xf numFmtId="0" fontId="13" fillId="0" borderId="0" xfId="1"/>
    <xf numFmtId="9" fontId="1" fillId="0" borderId="0" xfId="3" applyFont="1"/>
    <xf numFmtId="0" fontId="10" fillId="2" borderId="1" xfId="0" applyFont="1" applyFill="1" applyBorder="1" applyAlignment="1">
      <alignment horizontal="center" vertical="top"/>
    </xf>
    <xf numFmtId="0" fontId="10" fillId="2" borderId="1" xfId="1" applyFont="1" applyFill="1" applyBorder="1" applyAlignment="1">
      <alignment horizontal="center" vertical="top" wrapText="1"/>
    </xf>
    <xf numFmtId="0" fontId="10" fillId="2" borderId="1" xfId="1" applyFont="1" applyFill="1" applyBorder="1"/>
    <xf numFmtId="0" fontId="12" fillId="3" borderId="2" xfId="0" applyFont="1" applyFill="1" applyBorder="1" applyAlignment="1">
      <alignment vertical="top" wrapText="1"/>
    </xf>
    <xf numFmtId="15" fontId="1" fillId="3" borderId="2" xfId="0" applyNumberFormat="1" applyFont="1" applyFill="1" applyBorder="1" applyAlignment="1">
      <alignment vertical="top" wrapText="1"/>
    </xf>
    <xf numFmtId="0" fontId="1" fillId="3" borderId="2" xfId="0" applyFont="1" applyFill="1" applyBorder="1" applyAlignment="1">
      <alignment vertical="top" wrapText="1"/>
    </xf>
    <xf numFmtId="0" fontId="10" fillId="2" borderId="2" xfId="0" applyFont="1" applyFill="1" applyBorder="1" applyAlignment="1">
      <alignment horizontal="center" vertical="center" wrapText="1"/>
    </xf>
    <xf numFmtId="0" fontId="12" fillId="2" borderId="0" xfId="1" applyFont="1" applyFill="1"/>
    <xf numFmtId="0" fontId="12" fillId="2" borderId="0" xfId="1" applyFont="1" applyFill="1" applyAlignment="1">
      <alignment horizontal="left"/>
    </xf>
    <xf numFmtId="0" fontId="12" fillId="2" borderId="0" xfId="1" applyFont="1" applyFill="1" applyAlignment="1">
      <alignment horizontal="right"/>
    </xf>
    <xf numFmtId="2" fontId="12" fillId="2" borderId="1" xfId="1" applyNumberFormat="1" applyFont="1" applyFill="1" applyBorder="1" applyAlignment="1">
      <alignment horizontal="center"/>
    </xf>
    <xf numFmtId="9" fontId="12" fillId="2" borderId="1" xfId="3" applyNumberFormat="1" applyFont="1" applyFill="1" applyBorder="1" applyAlignment="1">
      <alignment horizontal="left"/>
    </xf>
    <xf numFmtId="176" fontId="10" fillId="2" borderId="1" xfId="1" applyNumberFormat="1" applyFont="1" applyFill="1" applyBorder="1" applyAlignment="1">
      <alignment horizontal="center"/>
    </xf>
    <xf numFmtId="9" fontId="10" fillId="2" borderId="1" xfId="1" applyNumberFormat="1" applyFont="1" applyFill="1" applyBorder="1" applyAlignment="1">
      <alignment horizontal="left"/>
    </xf>
    <xf numFmtId="0" fontId="1" fillId="2" borderId="0" xfId="0" applyFont="1" applyFill="1" applyAlignment="1">
      <alignment vertical="center"/>
    </xf>
    <xf numFmtId="0" fontId="1" fillId="2" borderId="0" xfId="0" applyFont="1" applyFill="1"/>
    <xf numFmtId="15" fontId="11" fillId="2" borderId="2" xfId="0" applyNumberFormat="1" applyFont="1" applyFill="1" applyBorder="1" applyAlignment="1">
      <alignment vertical="top" wrapText="1"/>
    </xf>
    <xf numFmtId="0" fontId="11" fillId="2" borderId="2" xfId="0" applyFont="1" applyFill="1" applyBorder="1" applyAlignment="1">
      <alignment vertical="top" wrapText="1"/>
    </xf>
    <xf numFmtId="0" fontId="6" fillId="2" borderId="0" xfId="0" applyFont="1" applyFill="1" applyAlignment="1">
      <alignment vertical="center"/>
    </xf>
    <xf numFmtId="0" fontId="7" fillId="2" borderId="0" xfId="0" applyFont="1" applyFill="1" applyAlignment="1">
      <alignment vertical="center"/>
    </xf>
    <xf numFmtId="0" fontId="5" fillId="2" borderId="3" xfId="0" applyFont="1" applyFill="1" applyBorder="1" applyAlignment="1">
      <alignment horizontal="center" vertical="center" wrapText="1"/>
    </xf>
    <xf numFmtId="0" fontId="5" fillId="2" borderId="4" xfId="0" applyFont="1" applyFill="1" applyBorder="1" applyAlignment="1">
      <alignment vertical="center" wrapText="1"/>
    </xf>
    <xf numFmtId="0" fontId="5" fillId="2" borderId="5" xfId="0" applyFont="1" applyFill="1" applyBorder="1" applyAlignment="1">
      <alignment horizontal="center" vertical="center" wrapText="1"/>
    </xf>
    <xf numFmtId="0" fontId="5" fillId="2" borderId="2" xfId="0" applyFont="1" applyFill="1" applyBorder="1" applyAlignment="1">
      <alignment vertical="center" wrapText="1"/>
    </xf>
    <xf numFmtId="0" fontId="7" fillId="3" borderId="2" xfId="0" applyFont="1" applyFill="1" applyBorder="1" applyAlignment="1">
      <alignment vertical="center" wrapText="1"/>
    </xf>
    <xf numFmtId="0" fontId="6" fillId="2" borderId="0" xfId="0" applyFont="1" applyFill="1" applyAlignment="1">
      <alignment vertical="center" wrapText="1"/>
    </xf>
    <xf numFmtId="0" fontId="8" fillId="2" borderId="2" xfId="0" applyFont="1" applyFill="1" applyBorder="1" applyAlignment="1">
      <alignment vertical="center" wrapText="1"/>
    </xf>
    <xf numFmtId="9" fontId="6" fillId="2" borderId="2" xfId="0" applyNumberFormat="1" applyFont="1" applyFill="1" applyBorder="1" applyAlignment="1">
      <alignment horizontal="center" vertical="center" wrapText="1"/>
    </xf>
    <xf numFmtId="0" fontId="8" fillId="2" borderId="6" xfId="0" applyFont="1" applyFill="1" applyBorder="1" applyAlignment="1">
      <alignment vertical="center" wrapText="1"/>
    </xf>
    <xf numFmtId="0" fontId="10" fillId="2" borderId="7" xfId="0" applyFont="1" applyFill="1" applyBorder="1" applyAlignment="1">
      <alignment horizontal="center" vertical="top"/>
    </xf>
    <xf numFmtId="0" fontId="1" fillId="3" borderId="2" xfId="0" quotePrefix="1" applyFont="1" applyFill="1" applyBorder="1" applyAlignment="1">
      <alignment vertical="top" wrapText="1"/>
    </xf>
    <xf numFmtId="0" fontId="5" fillId="2" borderId="5" xfId="0" applyFont="1" applyFill="1" applyBorder="1" applyAlignment="1">
      <alignment horizontal="center" vertical="center" wrapText="1"/>
    </xf>
    <xf numFmtId="0" fontId="5" fillId="2" borderId="2" xfId="0" applyFont="1" applyFill="1" applyBorder="1" applyAlignment="1">
      <alignment horizontal="left" vertical="center" wrapText="1"/>
    </xf>
    <xf numFmtId="0" fontId="12" fillId="0" borderId="1" xfId="2" applyFont="1" applyFill="1" applyBorder="1" applyAlignment="1">
      <alignment horizontal="left" vertical="center" wrapText="1"/>
    </xf>
    <xf numFmtId="0" fontId="1" fillId="3" borderId="2" xfId="0" applyFont="1" applyFill="1" applyBorder="1" applyAlignment="1">
      <alignment horizontal="left" vertical="top" wrapText="1"/>
    </xf>
    <xf numFmtId="0" fontId="12" fillId="0" borderId="1" xfId="0" applyFont="1" applyFill="1" applyBorder="1" applyAlignment="1">
      <alignment vertical="top" wrapText="1"/>
    </xf>
    <xf numFmtId="0" fontId="12" fillId="0" borderId="1" xfId="1" applyFont="1" applyFill="1" applyBorder="1" applyAlignment="1">
      <alignment horizontal="left" vertical="top"/>
    </xf>
    <xf numFmtId="0" fontId="12" fillId="0" borderId="1" xfId="0" applyFont="1" applyFill="1" applyBorder="1" applyAlignment="1">
      <alignment vertical="top"/>
    </xf>
    <xf numFmtId="2" fontId="12" fillId="0" borderId="1" xfId="1" applyNumberFormat="1" applyFont="1" applyFill="1" applyBorder="1" applyAlignment="1">
      <alignment vertical="center"/>
    </xf>
    <xf numFmtId="0" fontId="12" fillId="0" borderId="0" xfId="1" applyFont="1" applyFill="1"/>
    <xf numFmtId="0" fontId="12" fillId="0" borderId="1" xfId="0" applyNumberFormat="1" applyFont="1" applyFill="1" applyBorder="1" applyAlignment="1">
      <alignment vertical="top" wrapText="1"/>
    </xf>
    <xf numFmtId="2" fontId="12" fillId="0" borderId="1" xfId="1" applyNumberFormat="1" applyFont="1" applyFill="1" applyBorder="1" applyAlignment="1">
      <alignment vertical="center" wrapText="1"/>
    </xf>
    <xf numFmtId="0" fontId="12" fillId="0" borderId="1" xfId="0" applyFont="1" applyFill="1" applyBorder="1" applyAlignment="1">
      <alignment horizontal="justify" vertical="top" wrapText="1"/>
    </xf>
    <xf numFmtId="0" fontId="12" fillId="0" borderId="8" xfId="1" applyFont="1" applyFill="1" applyBorder="1" applyAlignment="1">
      <alignment wrapText="1"/>
    </xf>
    <xf numFmtId="0" fontId="12" fillId="0" borderId="1" xfId="0" quotePrefix="1" applyNumberFormat="1" applyFont="1" applyFill="1" applyBorder="1" applyAlignment="1">
      <alignment vertical="top" wrapText="1"/>
    </xf>
    <xf numFmtId="0" fontId="12" fillId="0" borderId="13" xfId="1" applyFont="1" applyFill="1" applyBorder="1" applyAlignment="1">
      <alignment wrapText="1"/>
    </xf>
    <xf numFmtId="0" fontId="12" fillId="0" borderId="1" xfId="1" applyFont="1" applyFill="1" applyBorder="1" applyAlignment="1">
      <alignment wrapText="1"/>
    </xf>
    <xf numFmtId="0" fontId="12" fillId="0" borderId="1" xfId="1" quotePrefix="1" applyFont="1" applyFill="1" applyBorder="1" applyAlignment="1">
      <alignment vertical="center" wrapText="1"/>
    </xf>
    <xf numFmtId="0" fontId="12" fillId="0" borderId="14" xfId="0" applyFont="1" applyFill="1" applyBorder="1" applyAlignment="1">
      <alignment horizontal="left" vertical="top" wrapText="1"/>
    </xf>
    <xf numFmtId="0" fontId="12" fillId="0" borderId="0" xfId="0" applyFont="1" applyFill="1" applyBorder="1" applyAlignment="1">
      <alignment horizontal="left" vertical="top" wrapText="1"/>
    </xf>
    <xf numFmtId="0" fontId="4" fillId="2" borderId="0" xfId="0" applyFont="1" applyFill="1" applyAlignment="1">
      <alignment horizontal="center" vertical="center"/>
    </xf>
    <xf numFmtId="0" fontId="5" fillId="2" borderId="5" xfId="0" applyFont="1" applyFill="1" applyBorder="1" applyAlignment="1">
      <alignment horizontal="center" vertical="center" wrapText="1"/>
    </xf>
    <xf numFmtId="0" fontId="5" fillId="2" borderId="2" xfId="0" applyFont="1" applyFill="1" applyBorder="1" applyAlignment="1">
      <alignment vertical="center" wrapText="1"/>
    </xf>
    <xf numFmtId="0" fontId="7" fillId="3" borderId="2" xfId="0" applyFont="1" applyFill="1" applyBorder="1" applyAlignment="1">
      <alignment vertical="center" wrapText="1"/>
    </xf>
    <xf numFmtId="0" fontId="6" fillId="3" borderId="2" xfId="0" applyFont="1" applyFill="1" applyBorder="1" applyAlignment="1">
      <alignment vertical="center" wrapText="1"/>
    </xf>
    <xf numFmtId="0" fontId="6" fillId="3" borderId="10" xfId="0" applyFont="1" applyFill="1" applyBorder="1" applyAlignment="1">
      <alignment vertical="center" wrapText="1"/>
    </xf>
    <xf numFmtId="0" fontId="7" fillId="3" borderId="10" xfId="0" applyFont="1" applyFill="1" applyBorder="1" applyAlignment="1">
      <alignment vertical="center" wrapText="1"/>
    </xf>
    <xf numFmtId="0" fontId="8" fillId="2" borderId="2" xfId="0" applyFont="1" applyFill="1" applyBorder="1" applyAlignment="1">
      <alignment vertical="center" wrapText="1"/>
    </xf>
    <xf numFmtId="0" fontId="7" fillId="3" borderId="2" xfId="0" applyFont="1" applyFill="1" applyBorder="1" applyAlignment="1">
      <alignment vertical="center"/>
    </xf>
    <xf numFmtId="0" fontId="6" fillId="3" borderId="2" xfId="0" applyFont="1" applyFill="1" applyBorder="1" applyAlignment="1">
      <alignment vertical="center"/>
    </xf>
    <xf numFmtId="0" fontId="6" fillId="3" borderId="10" xfId="0" applyFont="1" applyFill="1" applyBorder="1" applyAlignment="1">
      <alignment vertical="center"/>
    </xf>
    <xf numFmtId="0" fontId="7" fillId="3" borderId="2" xfId="0" applyFont="1" applyFill="1" applyBorder="1" applyAlignment="1">
      <alignment horizontal="left" vertical="center" wrapText="1"/>
    </xf>
    <xf numFmtId="0" fontId="6" fillId="3" borderId="2" xfId="0" applyFont="1" applyFill="1" applyBorder="1" applyAlignment="1">
      <alignment horizontal="left" vertical="center" wrapText="1"/>
    </xf>
    <xf numFmtId="0" fontId="6" fillId="3" borderId="10" xfId="0" applyFont="1" applyFill="1" applyBorder="1" applyAlignment="1">
      <alignment horizontal="left" vertical="center" wrapText="1"/>
    </xf>
    <xf numFmtId="0" fontId="7" fillId="3" borderId="6" xfId="0" applyFont="1" applyFill="1" applyBorder="1" applyAlignment="1">
      <alignment vertical="center" wrapText="1"/>
    </xf>
    <xf numFmtId="0" fontId="6" fillId="3" borderId="6" xfId="0" applyFont="1" applyFill="1" applyBorder="1" applyAlignment="1">
      <alignment vertical="center" wrapText="1"/>
    </xf>
    <xf numFmtId="0" fontId="6" fillId="3" borderId="11" xfId="0" applyFont="1" applyFill="1" applyBorder="1" applyAlignment="1">
      <alignment vertical="center" wrapText="1"/>
    </xf>
    <xf numFmtId="0" fontId="5" fillId="2" borderId="12" xfId="0" applyFont="1" applyFill="1" applyBorder="1" applyAlignment="1">
      <alignment horizontal="center" vertical="center" wrapText="1"/>
    </xf>
    <xf numFmtId="0" fontId="5" fillId="2" borderId="2" xfId="0" applyFont="1" applyFill="1" applyBorder="1" applyAlignment="1">
      <alignment horizontal="left" vertical="center" wrapText="1"/>
    </xf>
    <xf numFmtId="0" fontId="5" fillId="2" borderId="6" xfId="0" applyFont="1" applyFill="1" applyBorder="1" applyAlignment="1">
      <alignment horizontal="left" vertical="center" wrapText="1"/>
    </xf>
    <xf numFmtId="0" fontId="7" fillId="3" borderId="4" xfId="0" applyFont="1" applyFill="1" applyBorder="1" applyAlignment="1">
      <alignment vertical="center" wrapText="1"/>
    </xf>
    <xf numFmtId="0" fontId="6" fillId="3" borderId="4" xfId="0" applyFont="1" applyFill="1" applyBorder="1" applyAlignment="1">
      <alignment vertical="center" wrapText="1"/>
    </xf>
    <xf numFmtId="0" fontId="6" fillId="3" borderId="9" xfId="0" applyFont="1" applyFill="1" applyBorder="1" applyAlignment="1">
      <alignment vertical="center" wrapText="1"/>
    </xf>
    <xf numFmtId="0" fontId="6" fillId="3" borderId="2" xfId="0" quotePrefix="1" applyFont="1" applyFill="1" applyBorder="1" applyAlignment="1">
      <alignment vertical="center" wrapText="1"/>
    </xf>
    <xf numFmtId="0" fontId="9" fillId="2" borderId="0" xfId="1" applyFont="1" applyFill="1" applyAlignment="1">
      <alignment horizontal="center" vertical="center"/>
    </xf>
    <xf numFmtId="0" fontId="11" fillId="2" borderId="0" xfId="0" applyFont="1" applyFill="1" applyAlignment="1">
      <alignment horizontal="left" vertical="center"/>
    </xf>
  </cellXfs>
  <cellStyles count="4">
    <cellStyle name="Normal" xfId="0" builtinId="0" customBuiltin="1"/>
    <cellStyle name="Normal 2" xfId="1"/>
    <cellStyle name="Normal 87 2" xfId="2"/>
    <cellStyle name="Percent" xfId="3"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ustomProperty" Target="../customProperty2.bin"/><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ustomProperty" Target="../customProperty3.bin"/><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customProperty" Target="../customProperty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G31"/>
  <sheetViews>
    <sheetView tabSelected="1" zoomScale="90" zoomScaleNormal="90" zoomScaleSheetLayoutView="100" workbookViewId="0">
      <selection activeCell="L7" sqref="L7"/>
    </sheetView>
  </sheetViews>
  <sheetFormatPr defaultRowHeight="12.75"/>
  <cols>
    <col min="1" max="1" width="4.85546875" style="21" customWidth="1"/>
    <col min="2" max="2" width="17.42578125" style="21" customWidth="1"/>
    <col min="3" max="3" width="19.140625" style="21" customWidth="1"/>
    <col min="4" max="4" width="9.7109375" style="21" customWidth="1"/>
    <col min="5" max="5" width="54.28515625" style="21" customWidth="1"/>
    <col min="6" max="6" width="12.42578125" style="21" customWidth="1"/>
    <col min="7" max="7" width="0.140625" style="21" customWidth="1"/>
    <col min="8" max="16384" width="9.140625" style="21"/>
  </cols>
  <sheetData>
    <row r="1" spans="1:7" ht="29.25" customHeight="1">
      <c r="A1" s="53" t="s">
        <v>85</v>
      </c>
      <c r="B1" s="53"/>
      <c r="C1" s="53"/>
      <c r="D1" s="53"/>
      <c r="E1" s="53"/>
      <c r="F1" s="53"/>
    </row>
    <row r="2" spans="1:7">
      <c r="A2" s="22"/>
    </row>
    <row r="3" spans="1:7">
      <c r="A3" s="22"/>
    </row>
    <row r="4" spans="1:7">
      <c r="A4" s="23">
        <v>1</v>
      </c>
      <c r="B4" s="24" t="s">
        <v>12</v>
      </c>
      <c r="C4" s="73" t="s">
        <v>84</v>
      </c>
      <c r="D4" s="74"/>
      <c r="E4" s="74"/>
      <c r="F4" s="75"/>
    </row>
    <row r="5" spans="1:7">
      <c r="A5" s="25">
        <v>2</v>
      </c>
      <c r="B5" s="26" t="s">
        <v>11</v>
      </c>
      <c r="C5" s="56"/>
      <c r="D5" s="57"/>
      <c r="E5" s="57"/>
      <c r="F5" s="58"/>
    </row>
    <row r="6" spans="1:7">
      <c r="A6" s="25">
        <v>3</v>
      </c>
      <c r="B6" s="26" t="s">
        <v>8</v>
      </c>
      <c r="C6" s="64" t="s">
        <v>59</v>
      </c>
      <c r="D6" s="65"/>
      <c r="E6" s="65"/>
      <c r="F6" s="66"/>
    </row>
    <row r="7" spans="1:7" ht="76.5" customHeight="1">
      <c r="A7" s="25">
        <v>4</v>
      </c>
      <c r="B7" s="26" t="s">
        <v>13</v>
      </c>
      <c r="C7" s="76" t="s">
        <v>149</v>
      </c>
      <c r="D7" s="57"/>
      <c r="E7" s="57"/>
      <c r="F7" s="58"/>
    </row>
    <row r="8" spans="1:7" ht="149.25" customHeight="1">
      <c r="A8" s="34">
        <v>5</v>
      </c>
      <c r="B8" s="35" t="s">
        <v>14</v>
      </c>
      <c r="C8" s="56" t="s">
        <v>70</v>
      </c>
      <c r="D8" s="57"/>
      <c r="E8" s="57"/>
      <c r="F8" s="58"/>
    </row>
    <row r="9" spans="1:7" ht="194.25" customHeight="1">
      <c r="A9" s="25">
        <v>6</v>
      </c>
      <c r="B9" s="26" t="s">
        <v>15</v>
      </c>
      <c r="C9" s="64" t="s">
        <v>150</v>
      </c>
      <c r="D9" s="65"/>
      <c r="E9" s="65"/>
      <c r="F9" s="66"/>
      <c r="G9" s="28"/>
    </row>
    <row r="10" spans="1:7">
      <c r="A10" s="54">
        <v>7</v>
      </c>
      <c r="B10" s="55" t="s">
        <v>16</v>
      </c>
      <c r="C10" s="29" t="s">
        <v>17</v>
      </c>
      <c r="D10" s="30">
        <f>'AWS SA_Schedule_Offline'!F42</f>
        <v>0.52439024390243905</v>
      </c>
      <c r="E10" s="27" t="s">
        <v>45</v>
      </c>
      <c r="F10" s="59" t="s">
        <v>83</v>
      </c>
    </row>
    <row r="11" spans="1:7">
      <c r="A11" s="54"/>
      <c r="B11" s="55"/>
      <c r="C11" s="29" t="s">
        <v>18</v>
      </c>
      <c r="D11" s="30">
        <f>'AWS SA_Schedule_Offline'!F43</f>
        <v>0.43089430894308944</v>
      </c>
      <c r="E11" s="27" t="s">
        <v>46</v>
      </c>
      <c r="F11" s="58"/>
    </row>
    <row r="12" spans="1:7" ht="25.5">
      <c r="A12" s="54"/>
      <c r="B12" s="55"/>
      <c r="C12" s="29" t="s">
        <v>20</v>
      </c>
      <c r="D12" s="30">
        <f>'AWS SA_Schedule_Offline'!F44</f>
        <v>0</v>
      </c>
      <c r="E12" s="27" t="s">
        <v>47</v>
      </c>
      <c r="F12" s="58"/>
    </row>
    <row r="13" spans="1:7">
      <c r="A13" s="54"/>
      <c r="B13" s="55"/>
      <c r="C13" s="29" t="s">
        <v>19</v>
      </c>
      <c r="D13" s="30">
        <f>'AWS SA_Schedule_Offline'!F45</f>
        <v>2.8455284552845527E-2</v>
      </c>
      <c r="E13" s="27" t="s">
        <v>48</v>
      </c>
      <c r="F13" s="58"/>
    </row>
    <row r="14" spans="1:7">
      <c r="A14" s="54"/>
      <c r="B14" s="55"/>
      <c r="C14" s="29" t="s">
        <v>43</v>
      </c>
      <c r="D14" s="30">
        <f>'AWS SA_Schedule_Offline'!F46</f>
        <v>1.6260162601626018E-2</v>
      </c>
      <c r="E14" s="27" t="s">
        <v>49</v>
      </c>
      <c r="F14" s="58"/>
    </row>
    <row r="15" spans="1:7">
      <c r="A15" s="54">
        <v>8</v>
      </c>
      <c r="B15" s="55" t="s">
        <v>29</v>
      </c>
      <c r="C15" s="60" t="s">
        <v>21</v>
      </c>
      <c r="D15" s="64"/>
      <c r="E15" s="65"/>
      <c r="F15" s="66"/>
    </row>
    <row r="16" spans="1:7">
      <c r="A16" s="54"/>
      <c r="B16" s="55"/>
      <c r="C16" s="60"/>
      <c r="D16" s="64"/>
      <c r="E16" s="65"/>
      <c r="F16" s="66"/>
    </row>
    <row r="17" spans="1:6">
      <c r="A17" s="54"/>
      <c r="B17" s="55"/>
      <c r="C17" s="60" t="s">
        <v>2</v>
      </c>
      <c r="D17" s="61"/>
      <c r="E17" s="62"/>
      <c r="F17" s="63"/>
    </row>
    <row r="18" spans="1:6">
      <c r="A18" s="54"/>
      <c r="B18" s="55"/>
      <c r="C18" s="60"/>
      <c r="D18" s="61"/>
      <c r="E18" s="62"/>
      <c r="F18" s="63"/>
    </row>
    <row r="19" spans="1:6">
      <c r="A19" s="54"/>
      <c r="B19" s="55"/>
      <c r="C19" s="60"/>
      <c r="D19" s="61"/>
      <c r="E19" s="62"/>
      <c r="F19" s="63"/>
    </row>
    <row r="20" spans="1:6" ht="63" customHeight="1">
      <c r="A20" s="54"/>
      <c r="B20" s="55"/>
      <c r="C20" s="29" t="s">
        <v>22</v>
      </c>
      <c r="D20" s="57" t="s">
        <v>69</v>
      </c>
      <c r="E20" s="57"/>
      <c r="F20" s="58"/>
    </row>
    <row r="21" spans="1:6">
      <c r="A21" s="54">
        <v>9</v>
      </c>
      <c r="B21" s="55" t="s">
        <v>23</v>
      </c>
      <c r="C21" s="29" t="s">
        <v>24</v>
      </c>
      <c r="D21" s="56" t="s">
        <v>151</v>
      </c>
      <c r="E21" s="57"/>
      <c r="F21" s="58"/>
    </row>
    <row r="22" spans="1:6" ht="30" customHeight="1">
      <c r="A22" s="54"/>
      <c r="B22" s="55"/>
      <c r="C22" s="29" t="s">
        <v>25</v>
      </c>
      <c r="D22" s="56" t="s">
        <v>152</v>
      </c>
      <c r="E22" s="57"/>
      <c r="F22" s="58"/>
    </row>
    <row r="23" spans="1:6" ht="31.5" customHeight="1">
      <c r="A23" s="54"/>
      <c r="B23" s="55"/>
      <c r="C23" s="29" t="s">
        <v>26</v>
      </c>
      <c r="D23" s="56" t="s">
        <v>153</v>
      </c>
      <c r="E23" s="57"/>
      <c r="F23" s="58"/>
    </row>
    <row r="24" spans="1:6" ht="32.25" customHeight="1">
      <c r="A24" s="54"/>
      <c r="B24" s="55"/>
      <c r="C24" s="29" t="s">
        <v>27</v>
      </c>
      <c r="D24" s="56" t="s">
        <v>66</v>
      </c>
      <c r="E24" s="57"/>
      <c r="F24" s="58"/>
    </row>
    <row r="25" spans="1:6" ht="31.5" customHeight="1">
      <c r="A25" s="54">
        <v>10</v>
      </c>
      <c r="B25" s="71" t="s">
        <v>30</v>
      </c>
      <c r="C25" s="29" t="s">
        <v>32</v>
      </c>
      <c r="D25" s="56" t="s">
        <v>67</v>
      </c>
      <c r="E25" s="57"/>
      <c r="F25" s="58"/>
    </row>
    <row r="26" spans="1:6" ht="32.25" customHeight="1">
      <c r="A26" s="54"/>
      <c r="B26" s="71"/>
      <c r="C26" s="29" t="s">
        <v>33</v>
      </c>
      <c r="D26" s="56" t="s">
        <v>71</v>
      </c>
      <c r="E26" s="57"/>
      <c r="F26" s="58"/>
    </row>
    <row r="27" spans="1:6">
      <c r="A27" s="54"/>
      <c r="B27" s="71"/>
      <c r="C27" s="29" t="s">
        <v>34</v>
      </c>
      <c r="D27" s="56" t="s">
        <v>65</v>
      </c>
      <c r="E27" s="57"/>
      <c r="F27" s="58"/>
    </row>
    <row r="28" spans="1:6" ht="20.25" customHeight="1">
      <c r="A28" s="54"/>
      <c r="B28" s="71"/>
      <c r="C28" s="29" t="s">
        <v>31</v>
      </c>
      <c r="D28" s="56" t="s">
        <v>68</v>
      </c>
      <c r="E28" s="57"/>
      <c r="F28" s="58"/>
    </row>
    <row r="29" spans="1:6" ht="78.75" customHeight="1">
      <c r="A29" s="54"/>
      <c r="B29" s="71"/>
      <c r="C29" s="29" t="s">
        <v>44</v>
      </c>
      <c r="D29" s="56" t="s">
        <v>65</v>
      </c>
      <c r="E29" s="57"/>
      <c r="F29" s="58"/>
    </row>
    <row r="30" spans="1:6" ht="16.5" customHeight="1">
      <c r="A30" s="54"/>
      <c r="B30" s="71"/>
      <c r="C30" s="29" t="s">
        <v>56</v>
      </c>
      <c r="D30" s="67" t="s">
        <v>65</v>
      </c>
      <c r="E30" s="68"/>
      <c r="F30" s="69"/>
    </row>
    <row r="31" spans="1:6" ht="40.5" customHeight="1">
      <c r="A31" s="70"/>
      <c r="B31" s="72"/>
      <c r="C31" s="31" t="s">
        <v>35</v>
      </c>
      <c r="D31" s="67" t="s">
        <v>72</v>
      </c>
      <c r="E31" s="68"/>
      <c r="F31" s="69"/>
    </row>
  </sheetData>
  <mergeCells count="35">
    <mergeCell ref="C4:F4"/>
    <mergeCell ref="C5:F5"/>
    <mergeCell ref="C6:F6"/>
    <mergeCell ref="C7:F7"/>
    <mergeCell ref="C9:F9"/>
    <mergeCell ref="C8:F8"/>
    <mergeCell ref="D31:F31"/>
    <mergeCell ref="C15:C16"/>
    <mergeCell ref="D29:F29"/>
    <mergeCell ref="A25:A31"/>
    <mergeCell ref="B25:B31"/>
    <mergeCell ref="D27:F27"/>
    <mergeCell ref="D28:F28"/>
    <mergeCell ref="D30:F30"/>
    <mergeCell ref="D19:F19"/>
    <mergeCell ref="D26:F26"/>
    <mergeCell ref="C17:C19"/>
    <mergeCell ref="B15:B20"/>
    <mergeCell ref="D18:F18"/>
    <mergeCell ref="D15:F15"/>
    <mergeCell ref="D25:F25"/>
    <mergeCell ref="D24:F24"/>
    <mergeCell ref="D16:F16"/>
    <mergeCell ref="D17:F17"/>
    <mergeCell ref="D20:F20"/>
    <mergeCell ref="A1:F1"/>
    <mergeCell ref="A21:A24"/>
    <mergeCell ref="B21:B24"/>
    <mergeCell ref="D21:F21"/>
    <mergeCell ref="D22:F22"/>
    <mergeCell ref="D23:F23"/>
    <mergeCell ref="A15:A20"/>
    <mergeCell ref="A10:A14"/>
    <mergeCell ref="F10:F14"/>
    <mergeCell ref="B10:B14"/>
  </mergeCells>
  <phoneticPr fontId="3" type="noConversion"/>
  <pageMargins left="0.70866141732283505" right="0.70866141732283505" top="0.31496062992126" bottom="0.31496062992126" header="0.23622047244094499" footer="0.23622047244094499"/>
  <pageSetup paperSize="9" scale="90" orientation="landscape" r:id="rId1"/>
  <headerFooter>
    <oddFooter>&amp;L18e-BM/DT/FSOFT v1/1&amp;CInternal use&amp;R&amp;P/&amp;N</oddFooter>
  </headerFooter>
  <customProperties>
    <customPr name="DVSECTIONID" r:id="rId2"/>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F47"/>
  <sheetViews>
    <sheetView zoomScaleNormal="100" zoomScaleSheetLayoutView="100" workbookViewId="0">
      <pane ySplit="2" topLeftCell="A3" activePane="bottomLeft" state="frozen"/>
      <selection pane="bottomLeft" activeCell="C36" sqref="C36"/>
    </sheetView>
  </sheetViews>
  <sheetFormatPr defaultColWidth="9" defaultRowHeight="12.75"/>
  <cols>
    <col min="1" max="1" width="31.28515625" style="10" customWidth="1"/>
    <col min="2" max="2" width="6.7109375" style="11" customWidth="1"/>
    <col min="3" max="3" width="36" style="10" customWidth="1"/>
    <col min="4" max="4" width="18.140625" style="10" bestFit="1" customWidth="1"/>
    <col min="5" max="5" width="9.140625" style="12" customWidth="1"/>
    <col min="6" max="6" width="50.140625" style="12" bestFit="1" customWidth="1"/>
    <col min="7" max="16384" width="9" style="10"/>
  </cols>
  <sheetData>
    <row r="1" spans="1:6" ht="36.75" customHeight="1">
      <c r="A1" s="77"/>
      <c r="B1" s="77"/>
      <c r="C1" s="77"/>
      <c r="D1" s="77"/>
      <c r="E1" s="77"/>
      <c r="F1" s="77"/>
    </row>
    <row r="2" spans="1:6" ht="32.25" customHeight="1">
      <c r="A2" s="32" t="s">
        <v>60</v>
      </c>
      <c r="B2" s="4" t="s">
        <v>10</v>
      </c>
      <c r="C2" s="3" t="s">
        <v>57</v>
      </c>
      <c r="D2" s="4" t="s">
        <v>40</v>
      </c>
      <c r="E2" s="4" t="s">
        <v>73</v>
      </c>
      <c r="F2" s="4" t="s">
        <v>41</v>
      </c>
    </row>
    <row r="3" spans="1:6" s="42" customFormat="1" ht="102">
      <c r="A3" s="36" t="s">
        <v>122</v>
      </c>
      <c r="B3" s="39" t="s">
        <v>38</v>
      </c>
      <c r="C3" s="43" t="s">
        <v>88</v>
      </c>
      <c r="D3" s="40" t="s">
        <v>17</v>
      </c>
      <c r="E3" s="41">
        <v>1</v>
      </c>
      <c r="F3" s="45"/>
    </row>
    <row r="4" spans="1:6" s="42" customFormat="1">
      <c r="A4" s="36" t="s">
        <v>123</v>
      </c>
      <c r="B4" s="39" t="s">
        <v>38</v>
      </c>
      <c r="C4" s="49" t="s">
        <v>91</v>
      </c>
      <c r="D4" s="40" t="s">
        <v>17</v>
      </c>
      <c r="E4" s="41">
        <v>1</v>
      </c>
      <c r="F4" s="45"/>
    </row>
    <row r="5" spans="1:6" s="42" customFormat="1" ht="38.25">
      <c r="A5" s="36" t="s">
        <v>124</v>
      </c>
      <c r="B5" s="39" t="s">
        <v>38</v>
      </c>
      <c r="C5" s="36" t="s">
        <v>89</v>
      </c>
      <c r="D5" s="40" t="s">
        <v>17</v>
      </c>
      <c r="E5" s="41">
        <v>2.5</v>
      </c>
      <c r="F5" s="41"/>
    </row>
    <row r="6" spans="1:6" s="42" customFormat="1" ht="76.5">
      <c r="A6" s="36" t="s">
        <v>125</v>
      </c>
      <c r="B6" s="39" t="s">
        <v>38</v>
      </c>
      <c r="C6" s="43" t="s">
        <v>86</v>
      </c>
      <c r="D6" s="40" t="s">
        <v>17</v>
      </c>
      <c r="E6" s="41">
        <v>1</v>
      </c>
      <c r="F6" s="45"/>
    </row>
    <row r="7" spans="1:6" s="42" customFormat="1" ht="25.5">
      <c r="A7" s="36" t="s">
        <v>112</v>
      </c>
      <c r="B7" s="39" t="s">
        <v>38</v>
      </c>
      <c r="C7" s="49" t="s">
        <v>87</v>
      </c>
      <c r="D7" s="40" t="s">
        <v>18</v>
      </c>
      <c r="E7" s="41">
        <v>1</v>
      </c>
      <c r="F7" s="44" t="s">
        <v>117</v>
      </c>
    </row>
    <row r="8" spans="1:6" s="42" customFormat="1" ht="38.25">
      <c r="A8" s="38" t="s">
        <v>113</v>
      </c>
      <c r="B8" s="39" t="s">
        <v>38</v>
      </c>
      <c r="C8" s="50" t="s">
        <v>101</v>
      </c>
      <c r="D8" s="40" t="s">
        <v>18</v>
      </c>
      <c r="E8" s="41">
        <v>0.5</v>
      </c>
      <c r="F8" s="44" t="s">
        <v>117</v>
      </c>
    </row>
    <row r="9" spans="1:6" s="42" customFormat="1" ht="102">
      <c r="A9" s="36" t="s">
        <v>114</v>
      </c>
      <c r="B9" s="39" t="s">
        <v>38</v>
      </c>
      <c r="C9" s="43" t="s">
        <v>115</v>
      </c>
      <c r="D9" s="40" t="s">
        <v>17</v>
      </c>
      <c r="E9" s="41">
        <v>1.5</v>
      </c>
      <c r="F9" s="44"/>
    </row>
    <row r="10" spans="1:6" s="42" customFormat="1" ht="38.25">
      <c r="A10" s="36" t="s">
        <v>118</v>
      </c>
      <c r="B10" s="39" t="s">
        <v>38</v>
      </c>
      <c r="C10" s="49" t="s">
        <v>90</v>
      </c>
      <c r="D10" s="40" t="s">
        <v>18</v>
      </c>
      <c r="E10" s="41">
        <v>0.5</v>
      </c>
      <c r="F10" s="44" t="s">
        <v>117</v>
      </c>
    </row>
    <row r="11" spans="1:6" s="42" customFormat="1" ht="25.5">
      <c r="A11" s="38" t="s">
        <v>74</v>
      </c>
      <c r="B11" s="39" t="s">
        <v>39</v>
      </c>
      <c r="C11" s="43" t="s">
        <v>24</v>
      </c>
      <c r="D11" s="40" t="s">
        <v>19</v>
      </c>
      <c r="E11" s="41">
        <v>0.5</v>
      </c>
      <c r="F11" s="45" t="s">
        <v>116</v>
      </c>
    </row>
    <row r="12" spans="1:6" s="42" customFormat="1" ht="25.5">
      <c r="A12" s="38" t="s">
        <v>119</v>
      </c>
      <c r="B12" s="39" t="s">
        <v>39</v>
      </c>
      <c r="C12" s="43" t="s">
        <v>120</v>
      </c>
      <c r="D12" s="40" t="s">
        <v>17</v>
      </c>
      <c r="E12" s="41">
        <v>1.5</v>
      </c>
      <c r="F12" s="45"/>
    </row>
    <row r="13" spans="1:6" s="42" customFormat="1" ht="63.75">
      <c r="A13" s="38" t="s">
        <v>121</v>
      </c>
      <c r="B13" s="39" t="s">
        <v>39</v>
      </c>
      <c r="C13" s="49" t="s">
        <v>162</v>
      </c>
      <c r="D13" s="40" t="s">
        <v>17</v>
      </c>
      <c r="E13" s="41">
        <v>1</v>
      </c>
      <c r="F13" s="45"/>
    </row>
    <row r="14" spans="1:6" s="42" customFormat="1" ht="102">
      <c r="A14" s="38" t="s">
        <v>126</v>
      </c>
      <c r="B14" s="39" t="s">
        <v>39</v>
      </c>
      <c r="C14" s="49" t="s">
        <v>92</v>
      </c>
      <c r="D14" s="40" t="s">
        <v>17</v>
      </c>
      <c r="E14" s="41">
        <v>1</v>
      </c>
      <c r="F14" s="45"/>
    </row>
    <row r="15" spans="1:6" s="42" customFormat="1" ht="25.5">
      <c r="A15" s="38" t="s">
        <v>127</v>
      </c>
      <c r="B15" s="39" t="s">
        <v>39</v>
      </c>
      <c r="C15" s="43" t="s">
        <v>93</v>
      </c>
      <c r="D15" s="40" t="s">
        <v>18</v>
      </c>
      <c r="E15" s="41">
        <v>1</v>
      </c>
      <c r="F15" s="44" t="s">
        <v>117</v>
      </c>
    </row>
    <row r="16" spans="1:6" s="42" customFormat="1" ht="51">
      <c r="A16" s="38" t="s">
        <v>128</v>
      </c>
      <c r="B16" s="39" t="s">
        <v>39</v>
      </c>
      <c r="C16" s="49" t="s">
        <v>94</v>
      </c>
      <c r="D16" s="40" t="s">
        <v>17</v>
      </c>
      <c r="E16" s="41">
        <v>1.5</v>
      </c>
      <c r="F16" s="45"/>
    </row>
    <row r="17" spans="1:6" s="42" customFormat="1" ht="25.5">
      <c r="A17" s="38" t="s">
        <v>129</v>
      </c>
      <c r="B17" s="39" t="s">
        <v>39</v>
      </c>
      <c r="C17" s="43" t="s">
        <v>95</v>
      </c>
      <c r="D17" s="40" t="s">
        <v>18</v>
      </c>
      <c r="E17" s="41">
        <v>0.5</v>
      </c>
      <c r="F17" s="44" t="s">
        <v>117</v>
      </c>
    </row>
    <row r="18" spans="1:6" s="42" customFormat="1" ht="76.5">
      <c r="A18" s="38" t="s">
        <v>130</v>
      </c>
      <c r="B18" s="39" t="s">
        <v>39</v>
      </c>
      <c r="C18" s="49" t="s">
        <v>97</v>
      </c>
      <c r="D18" s="40" t="s">
        <v>17</v>
      </c>
      <c r="E18" s="41">
        <v>1.5</v>
      </c>
      <c r="F18" s="45"/>
    </row>
    <row r="19" spans="1:6" s="42" customFormat="1" ht="25.5">
      <c r="A19" s="38" t="s">
        <v>131</v>
      </c>
      <c r="B19" s="39" t="s">
        <v>39</v>
      </c>
      <c r="C19" s="43" t="s">
        <v>96</v>
      </c>
      <c r="D19" s="40" t="s">
        <v>18</v>
      </c>
      <c r="E19" s="41">
        <v>0.5</v>
      </c>
      <c r="F19" s="44" t="s">
        <v>117</v>
      </c>
    </row>
    <row r="20" spans="1:6" s="42" customFormat="1">
      <c r="A20" s="38" t="s">
        <v>75</v>
      </c>
      <c r="B20" s="39" t="s">
        <v>76</v>
      </c>
      <c r="C20" s="43" t="s">
        <v>102</v>
      </c>
      <c r="D20" s="40" t="s">
        <v>19</v>
      </c>
      <c r="E20" s="41">
        <v>0.5</v>
      </c>
      <c r="F20" s="45" t="s">
        <v>132</v>
      </c>
    </row>
    <row r="21" spans="1:6" s="42" customFormat="1" ht="25.5">
      <c r="A21" s="38" t="s">
        <v>119</v>
      </c>
      <c r="B21" s="39" t="s">
        <v>76</v>
      </c>
      <c r="C21" s="38" t="s">
        <v>133</v>
      </c>
      <c r="D21" s="40" t="s">
        <v>17</v>
      </c>
      <c r="E21" s="41">
        <v>1.5</v>
      </c>
      <c r="F21" s="45"/>
    </row>
    <row r="22" spans="1:6" s="42" customFormat="1" ht="51">
      <c r="A22" s="38" t="s">
        <v>134</v>
      </c>
      <c r="B22" s="39" t="s">
        <v>76</v>
      </c>
      <c r="C22" s="49" t="s">
        <v>98</v>
      </c>
      <c r="D22" s="40" t="s">
        <v>17</v>
      </c>
      <c r="E22" s="41">
        <v>1</v>
      </c>
      <c r="F22" s="45"/>
    </row>
    <row r="23" spans="1:6" s="42" customFormat="1" ht="38.25">
      <c r="A23" s="38" t="s">
        <v>135</v>
      </c>
      <c r="B23" s="39" t="s">
        <v>76</v>
      </c>
      <c r="C23" s="49" t="s">
        <v>99</v>
      </c>
      <c r="D23" s="40" t="s">
        <v>18</v>
      </c>
      <c r="E23" s="41">
        <v>1</v>
      </c>
      <c r="F23" s="44" t="s">
        <v>117</v>
      </c>
    </row>
    <row r="24" spans="1:6" s="42" customFormat="1" ht="38.25">
      <c r="A24" s="38" t="s">
        <v>136</v>
      </c>
      <c r="B24" s="39" t="s">
        <v>76</v>
      </c>
      <c r="C24" s="50" t="s">
        <v>100</v>
      </c>
      <c r="D24" s="40" t="s">
        <v>17</v>
      </c>
      <c r="E24" s="41">
        <v>2</v>
      </c>
      <c r="F24" s="45"/>
    </row>
    <row r="25" spans="1:6" s="42" customFormat="1" ht="51">
      <c r="A25" s="38" t="s">
        <v>137</v>
      </c>
      <c r="B25" s="39" t="s">
        <v>76</v>
      </c>
      <c r="C25" s="50" t="s">
        <v>103</v>
      </c>
      <c r="D25" s="40" t="s">
        <v>17</v>
      </c>
      <c r="E25" s="41">
        <v>2</v>
      </c>
      <c r="F25" s="45"/>
    </row>
    <row r="26" spans="1:6" s="42" customFormat="1" ht="38.25">
      <c r="A26" s="38" t="s">
        <v>138</v>
      </c>
      <c r="B26" s="39" t="s">
        <v>76</v>
      </c>
      <c r="C26" s="50" t="s">
        <v>104</v>
      </c>
      <c r="D26" s="40" t="s">
        <v>18</v>
      </c>
      <c r="E26" s="41">
        <v>1</v>
      </c>
      <c r="F26" s="44" t="s">
        <v>117</v>
      </c>
    </row>
    <row r="27" spans="1:6" s="42" customFormat="1">
      <c r="A27" s="38" t="s">
        <v>77</v>
      </c>
      <c r="B27" s="39" t="s">
        <v>78</v>
      </c>
      <c r="C27" s="43" t="s">
        <v>24</v>
      </c>
      <c r="D27" s="40" t="s">
        <v>19</v>
      </c>
      <c r="E27" s="41">
        <v>0.75</v>
      </c>
      <c r="F27" s="45"/>
    </row>
    <row r="28" spans="1:6" s="42" customFormat="1">
      <c r="A28" s="38" t="s">
        <v>119</v>
      </c>
      <c r="B28" s="39" t="s">
        <v>78</v>
      </c>
      <c r="C28" s="38" t="s">
        <v>139</v>
      </c>
      <c r="D28" s="40" t="s">
        <v>17</v>
      </c>
      <c r="E28" s="41">
        <v>1.5</v>
      </c>
      <c r="F28" s="45"/>
    </row>
    <row r="29" spans="1:6" s="42" customFormat="1" ht="102">
      <c r="A29" s="38" t="s">
        <v>140</v>
      </c>
      <c r="B29" s="39" t="s">
        <v>78</v>
      </c>
      <c r="C29" s="50" t="s">
        <v>105</v>
      </c>
      <c r="D29" s="40" t="s">
        <v>17</v>
      </c>
      <c r="E29" s="41">
        <v>1</v>
      </c>
      <c r="F29" s="45"/>
    </row>
    <row r="30" spans="1:6" s="42" customFormat="1" ht="25.5">
      <c r="A30" s="38" t="s">
        <v>141</v>
      </c>
      <c r="B30" s="39" t="s">
        <v>78</v>
      </c>
      <c r="C30" s="50" t="s">
        <v>106</v>
      </c>
      <c r="D30" s="40" t="s">
        <v>18</v>
      </c>
      <c r="E30" s="41">
        <v>0.5</v>
      </c>
      <c r="F30" s="45"/>
    </row>
    <row r="31" spans="1:6" s="42" customFormat="1" ht="51">
      <c r="A31" s="38" t="s">
        <v>142</v>
      </c>
      <c r="B31" s="39" t="s">
        <v>78</v>
      </c>
      <c r="C31" s="50" t="s">
        <v>107</v>
      </c>
      <c r="D31" s="40" t="s">
        <v>17</v>
      </c>
      <c r="E31" s="41">
        <v>1.5</v>
      </c>
      <c r="F31" s="45"/>
    </row>
    <row r="32" spans="1:6" s="42" customFormat="1">
      <c r="A32" s="38" t="s">
        <v>143</v>
      </c>
      <c r="B32" s="39" t="s">
        <v>78</v>
      </c>
      <c r="C32" s="50" t="s">
        <v>108</v>
      </c>
      <c r="D32" s="40" t="s">
        <v>17</v>
      </c>
      <c r="E32" s="41">
        <v>2</v>
      </c>
      <c r="F32" s="45"/>
    </row>
    <row r="33" spans="1:6" s="42" customFormat="1" ht="38.25">
      <c r="A33" s="36" t="s">
        <v>144</v>
      </c>
      <c r="B33" s="39" t="s">
        <v>78</v>
      </c>
      <c r="C33" s="43" t="s">
        <v>82</v>
      </c>
      <c r="D33" s="40" t="s">
        <v>17</v>
      </c>
      <c r="E33" s="41">
        <v>0.25</v>
      </c>
      <c r="F33" s="51" t="s">
        <v>147</v>
      </c>
    </row>
    <row r="34" spans="1:6" s="42" customFormat="1">
      <c r="A34" s="36" t="s">
        <v>144</v>
      </c>
      <c r="B34" s="39"/>
      <c r="C34" s="43"/>
      <c r="D34" s="40" t="s">
        <v>18</v>
      </c>
      <c r="E34" s="41">
        <v>20</v>
      </c>
      <c r="F34" s="52" t="s">
        <v>161</v>
      </c>
    </row>
    <row r="35" spans="1:6" s="42" customFormat="1">
      <c r="A35" s="38" t="s">
        <v>119</v>
      </c>
      <c r="B35" s="39" t="s">
        <v>79</v>
      </c>
      <c r="C35" s="38" t="s">
        <v>145</v>
      </c>
      <c r="D35" s="40" t="s">
        <v>17</v>
      </c>
      <c r="E35" s="41">
        <v>0.5</v>
      </c>
      <c r="F35" s="45"/>
    </row>
    <row r="36" spans="1:6" s="42" customFormat="1" ht="25.5">
      <c r="A36" s="36" t="s">
        <v>146</v>
      </c>
      <c r="B36" s="39" t="s">
        <v>79</v>
      </c>
      <c r="C36" s="43" t="s">
        <v>148</v>
      </c>
      <c r="D36" s="40" t="s">
        <v>17</v>
      </c>
      <c r="E36" s="41">
        <v>1.5</v>
      </c>
      <c r="F36" s="41"/>
    </row>
    <row r="37" spans="1:6" s="42" customFormat="1">
      <c r="A37" s="36" t="s">
        <v>80</v>
      </c>
      <c r="B37" s="39" t="s">
        <v>79</v>
      </c>
      <c r="C37" s="43" t="s">
        <v>109</v>
      </c>
      <c r="D37" s="40" t="s">
        <v>17</v>
      </c>
      <c r="E37" s="41">
        <v>1.5</v>
      </c>
      <c r="F37" s="41"/>
    </row>
    <row r="38" spans="1:6" s="42" customFormat="1">
      <c r="A38" s="38" t="s">
        <v>110</v>
      </c>
      <c r="B38" s="39" t="s">
        <v>79</v>
      </c>
      <c r="C38" s="43" t="s">
        <v>110</v>
      </c>
      <c r="D38" s="40" t="s">
        <v>43</v>
      </c>
      <c r="E38" s="41">
        <v>1</v>
      </c>
      <c r="F38" s="48" t="s">
        <v>160</v>
      </c>
    </row>
    <row r="39" spans="1:6" s="42" customFormat="1">
      <c r="A39" s="38" t="s">
        <v>111</v>
      </c>
      <c r="B39" s="39" t="s">
        <v>79</v>
      </c>
      <c r="C39" s="43" t="s">
        <v>111</v>
      </c>
      <c r="D39" s="40" t="s">
        <v>17</v>
      </c>
      <c r="E39" s="41">
        <v>1</v>
      </c>
      <c r="F39" s="46"/>
    </row>
    <row r="40" spans="1:6" s="42" customFormat="1">
      <c r="A40" s="38" t="s">
        <v>81</v>
      </c>
      <c r="B40" s="39" t="s">
        <v>79</v>
      </c>
      <c r="C40" s="47" t="s">
        <v>81</v>
      </c>
      <c r="D40" s="40" t="s">
        <v>17</v>
      </c>
      <c r="E40" s="41">
        <v>1.5</v>
      </c>
      <c r="F40" s="41"/>
    </row>
    <row r="42" spans="1:6">
      <c r="D42" s="5" t="s">
        <v>17</v>
      </c>
      <c r="E42" s="13">
        <f>SUMIF(D$3:D$40,D42,E$3:E$40)</f>
        <v>32.25</v>
      </c>
      <c r="F42" s="14">
        <f>E42/$E$47</f>
        <v>0.52439024390243905</v>
      </c>
    </row>
    <row r="43" spans="1:6">
      <c r="D43" s="5" t="s">
        <v>18</v>
      </c>
      <c r="E43" s="13">
        <f>SUMIF(D$3:D$40,D43,E$3:E$40)</f>
        <v>26.5</v>
      </c>
      <c r="F43" s="14">
        <f>E43/$E$47</f>
        <v>0.43089430894308944</v>
      </c>
    </row>
    <row r="44" spans="1:6">
      <c r="D44" s="5" t="s">
        <v>20</v>
      </c>
      <c r="E44" s="13">
        <f>SUMIF(D$3:D$40,D44,E$3:E$40)</f>
        <v>0</v>
      </c>
      <c r="F44" s="14">
        <f>E44/$E$47</f>
        <v>0</v>
      </c>
    </row>
    <row r="45" spans="1:6">
      <c r="D45" s="5" t="s">
        <v>19</v>
      </c>
      <c r="E45" s="13">
        <f>SUMIF(D$3:D$40,D45,E$3:E$40)</f>
        <v>1.75</v>
      </c>
      <c r="F45" s="14">
        <f>E45/$E$47</f>
        <v>2.8455284552845527E-2</v>
      </c>
    </row>
    <row r="46" spans="1:6">
      <c r="D46" s="5" t="s">
        <v>43</v>
      </c>
      <c r="E46" s="13">
        <f>SUMIF(D$3:D$40,D46,E$3:E$40)</f>
        <v>1</v>
      </c>
      <c r="F46" s="14">
        <f>E46/$E$47</f>
        <v>1.6260162601626018E-2</v>
      </c>
    </row>
    <row r="47" spans="1:6">
      <c r="D47" s="5" t="s">
        <v>42</v>
      </c>
      <c r="E47" s="15">
        <f>SUM(E42:E46)</f>
        <v>61.5</v>
      </c>
      <c r="F47" s="16">
        <f>SUM(F42:F46)</f>
        <v>1</v>
      </c>
    </row>
  </sheetData>
  <dataConsolidate/>
  <mergeCells count="1">
    <mergeCell ref="A1:F1"/>
  </mergeCells>
  <phoneticPr fontId="3" type="noConversion"/>
  <dataValidations count="1">
    <dataValidation type="list" allowBlank="1" showErrorMessage="1" sqref="D3:D40">
      <formula1>"Concept/Lecture, Assignment/Lab, Test/Quiz, Exam, Guides/Review, Seminar/Workshop, Class Meeting"</formula1>
    </dataValidation>
  </dataValidations>
  <pageMargins left="0.44" right="0.70866141732283505" top="0.47" bottom="0.55000000000000004" header="0.31496062992126" footer="0.31496062992126"/>
  <pageSetup paperSize="9" scale="51" fitToHeight="2" orientation="landscape" r:id="rId1"/>
  <headerFooter>
    <oddFooter>&amp;L18e-BM/DT/FSOFT v1/1&amp;CInternal use&amp;R&amp;P/&amp;N</oddFooter>
  </headerFooter>
  <customProperties>
    <customPr name="DVSECTIONID" r:id="rId2"/>
  </customPropertie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G16"/>
  <sheetViews>
    <sheetView view="pageBreakPreview" zoomScaleNormal="100" zoomScaleSheetLayoutView="100" workbookViewId="0">
      <selection activeCell="C15" sqref="C15"/>
    </sheetView>
  </sheetViews>
  <sheetFormatPr defaultRowHeight="12.75"/>
  <cols>
    <col min="1" max="1" width="3.140625" style="18" customWidth="1"/>
    <col min="2" max="2" width="14.42578125" style="18" customWidth="1"/>
    <col min="3" max="3" width="23.28515625" style="18" customWidth="1"/>
    <col min="4" max="4" width="15.7109375" style="18" customWidth="1"/>
    <col min="5" max="5" width="14.85546875" style="18" customWidth="1"/>
    <col min="6" max="6" width="16" style="18" customWidth="1"/>
    <col min="7" max="7" width="9.42578125" style="18" customWidth="1"/>
    <col min="8" max="16384" width="9.140625" style="18"/>
  </cols>
  <sheetData>
    <row r="1" spans="1:7" s="17" customFormat="1" ht="20.25" customHeight="1">
      <c r="A1" s="78" t="s">
        <v>36</v>
      </c>
      <c r="B1" s="78"/>
      <c r="C1" s="78"/>
      <c r="D1" s="78"/>
      <c r="E1" s="78"/>
      <c r="F1" s="78"/>
      <c r="G1" s="78"/>
    </row>
    <row r="2" spans="1:7">
      <c r="B2" s="9" t="s">
        <v>37</v>
      </c>
      <c r="C2" s="9" t="s">
        <v>28</v>
      </c>
      <c r="D2" s="9" t="s">
        <v>58</v>
      </c>
      <c r="E2" s="9" t="s">
        <v>0</v>
      </c>
      <c r="F2" s="9" t="s">
        <v>1</v>
      </c>
    </row>
    <row r="3" spans="1:7">
      <c r="B3" s="19" t="s">
        <v>53</v>
      </c>
      <c r="C3" s="6" t="s">
        <v>154</v>
      </c>
      <c r="D3" s="6" t="s">
        <v>155</v>
      </c>
      <c r="E3" s="6" t="s">
        <v>159</v>
      </c>
      <c r="F3" s="6"/>
    </row>
    <row r="4" spans="1:7">
      <c r="B4" s="20" t="s">
        <v>54</v>
      </c>
      <c r="C4" s="6" t="s">
        <v>156</v>
      </c>
      <c r="D4" s="6" t="s">
        <v>157</v>
      </c>
      <c r="E4" s="6" t="s">
        <v>158</v>
      </c>
      <c r="F4" s="6"/>
    </row>
    <row r="5" spans="1:7">
      <c r="B5" s="20" t="s">
        <v>55</v>
      </c>
      <c r="C5" s="6"/>
      <c r="D5" s="6"/>
      <c r="E5" s="6"/>
      <c r="F5" s="6"/>
    </row>
    <row r="6" spans="1:7" s="17" customFormat="1" ht="20.25" customHeight="1">
      <c r="A6" s="78" t="s">
        <v>3</v>
      </c>
      <c r="B6" s="78"/>
      <c r="C6" s="78"/>
      <c r="D6" s="78"/>
      <c r="E6" s="78"/>
      <c r="F6" s="78"/>
      <c r="G6" s="78"/>
    </row>
    <row r="7" spans="1:7">
      <c r="A7" s="18" t="s">
        <v>4</v>
      </c>
    </row>
    <row r="9" spans="1:7" ht="25.5">
      <c r="B9" s="9" t="s">
        <v>5</v>
      </c>
      <c r="C9" s="9" t="s">
        <v>6</v>
      </c>
      <c r="D9" s="9"/>
      <c r="E9" s="9" t="s">
        <v>9</v>
      </c>
      <c r="F9" s="9" t="s">
        <v>7</v>
      </c>
      <c r="G9" s="9" t="s">
        <v>8</v>
      </c>
    </row>
    <row r="10" spans="1:7">
      <c r="B10" s="7">
        <v>44372</v>
      </c>
      <c r="C10" s="8" t="s">
        <v>61</v>
      </c>
      <c r="D10" s="8"/>
      <c r="E10" s="8" t="s">
        <v>62</v>
      </c>
      <c r="F10" s="8" t="s">
        <v>63</v>
      </c>
      <c r="G10" s="33" t="s">
        <v>64</v>
      </c>
    </row>
    <row r="11" spans="1:7">
      <c r="B11" s="7"/>
      <c r="C11" s="8"/>
      <c r="D11" s="8"/>
      <c r="E11" s="8"/>
      <c r="F11" s="8"/>
      <c r="G11" s="37"/>
    </row>
    <row r="12" spans="1:7">
      <c r="B12" s="8"/>
      <c r="C12" s="8"/>
      <c r="D12" s="8"/>
      <c r="E12" s="8"/>
      <c r="F12" s="8"/>
      <c r="G12" s="8"/>
    </row>
    <row r="13" spans="1:7">
      <c r="B13" s="8"/>
      <c r="C13" s="8"/>
      <c r="D13" s="8"/>
      <c r="E13" s="8"/>
      <c r="F13" s="8"/>
      <c r="G13" s="8"/>
    </row>
    <row r="14" spans="1:7">
      <c r="B14" s="8"/>
      <c r="C14" s="8"/>
      <c r="D14" s="8"/>
      <c r="E14" s="8"/>
      <c r="F14" s="8"/>
      <c r="G14" s="8"/>
    </row>
    <row r="15" spans="1:7">
      <c r="B15" s="8"/>
      <c r="C15" s="8"/>
      <c r="D15" s="8"/>
      <c r="E15" s="8"/>
      <c r="F15" s="8"/>
      <c r="G15" s="8"/>
    </row>
    <row r="16" spans="1:7">
      <c r="B16" s="8"/>
      <c r="C16" s="8"/>
      <c r="D16" s="8"/>
      <c r="E16" s="8"/>
      <c r="F16" s="8"/>
      <c r="G16" s="8"/>
    </row>
  </sheetData>
  <mergeCells count="2">
    <mergeCell ref="A1:G1"/>
    <mergeCell ref="A6:G6"/>
  </mergeCells>
  <phoneticPr fontId="3" type="noConversion"/>
  <pageMargins left="0.7" right="0.41" top="0.75" bottom="0.75" header="0.3" footer="0.3"/>
  <pageSetup paperSize="9" scale="96" orientation="portrait" r:id="rId1"/>
  <headerFooter>
    <oddFooter>&amp;L18e-BM/DT/FSOFT v1/1&amp;CInternal use&amp;R&amp;P/&amp;N</oddFooter>
  </headerFooter>
  <customProperties>
    <customPr name="DVSECTIONID" r:id="rId2"/>
  </customPropertie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IV5"/>
  <sheetViews>
    <sheetView workbookViewId="0">
      <selection activeCell="AL4" sqref="AL4"/>
    </sheetView>
  </sheetViews>
  <sheetFormatPr defaultRowHeight="12.75"/>
  <sheetData>
    <row r="1" spans="1:256">
      <c r="A1" t="e">
        <f>IF('Architecting on AWS_Syllabus'!1:1,"AAAAAH7b/wA=",0)</f>
        <v>#VALUE!</v>
      </c>
      <c r="B1" t="e">
        <f>AND('Architecting on AWS_Syllabus'!#REF!,"AAAAAH7b/wE=")</f>
        <v>#REF!</v>
      </c>
      <c r="C1" t="e">
        <f>AND('Architecting on AWS_Syllabus'!B1,"AAAAAH7b/wI=")</f>
        <v>#VALUE!</v>
      </c>
      <c r="D1" t="e">
        <f>AND('Architecting on AWS_Syllabus'!C1,"AAAAAH7b/wM=")</f>
        <v>#VALUE!</v>
      </c>
      <c r="E1" t="e">
        <f>AND('Architecting on AWS_Syllabus'!D1,"AAAAAH7b/wQ=")</f>
        <v>#VALUE!</v>
      </c>
      <c r="F1" t="e">
        <f>AND('Architecting on AWS_Syllabus'!E1,"AAAAAH7b/wU=")</f>
        <v>#VALUE!</v>
      </c>
      <c r="G1" t="e">
        <f>AND('Architecting on AWS_Syllabus'!F1,"AAAAAH7b/wY=")</f>
        <v>#VALUE!</v>
      </c>
      <c r="H1" t="e">
        <f>AND('Architecting on AWS_Syllabus'!G1,"AAAAAH7b/wc=")</f>
        <v>#VALUE!</v>
      </c>
      <c r="I1" t="e">
        <f>IF('Architecting on AWS_Syllabus'!#REF!,"AAAAAH7b/wg=",0)</f>
        <v>#REF!</v>
      </c>
      <c r="J1" t="e">
        <f>AND('Architecting on AWS_Syllabus'!#REF!,"AAAAAH7b/wk=")</f>
        <v>#REF!</v>
      </c>
      <c r="K1" t="e">
        <f>AND('Architecting on AWS_Syllabus'!#REF!,"AAAAAH7b/wo=")</f>
        <v>#REF!</v>
      </c>
      <c r="L1" t="e">
        <f>AND('Architecting on AWS_Syllabus'!#REF!,"AAAAAH7b/ws=")</f>
        <v>#REF!</v>
      </c>
      <c r="M1" t="e">
        <f>AND('Architecting on AWS_Syllabus'!#REF!,"AAAAAH7b/ww=")</f>
        <v>#REF!</v>
      </c>
      <c r="N1" t="e">
        <f>AND('Architecting on AWS_Syllabus'!#REF!,"AAAAAH7b/w0=")</f>
        <v>#REF!</v>
      </c>
      <c r="O1" t="e">
        <f>AND('Architecting on AWS_Syllabus'!#REF!,"AAAAAH7b/w4=")</f>
        <v>#REF!</v>
      </c>
      <c r="P1" t="e">
        <f>AND('Architecting on AWS_Syllabus'!#REF!,"AAAAAH7b/w8=")</f>
        <v>#REF!</v>
      </c>
      <c r="Q1">
        <f>IF('Architecting on AWS_Syllabus'!4:4,"AAAAAH7b/xA=",0)</f>
        <v>0</v>
      </c>
      <c r="R1" t="e">
        <f>AND('Architecting on AWS_Syllabus'!A4,"AAAAAH7b/xE=")</f>
        <v>#VALUE!</v>
      </c>
      <c r="S1" t="e">
        <f>AND('Architecting on AWS_Syllabus'!B4,"AAAAAH7b/xI=")</f>
        <v>#VALUE!</v>
      </c>
      <c r="T1" t="e">
        <f>AND('Architecting on AWS_Syllabus'!C4,"AAAAAH7b/xM=")</f>
        <v>#VALUE!</v>
      </c>
      <c r="U1" t="e">
        <f>AND('Architecting on AWS_Syllabus'!D4,"AAAAAH7b/xQ=")</f>
        <v>#VALUE!</v>
      </c>
      <c r="V1" t="e">
        <f>AND('Architecting on AWS_Syllabus'!E4,"AAAAAH7b/xU=")</f>
        <v>#VALUE!</v>
      </c>
      <c r="W1" t="e">
        <f>AND('Architecting on AWS_Syllabus'!F4,"AAAAAH7b/xY=")</f>
        <v>#VALUE!</v>
      </c>
      <c r="X1" t="e">
        <f>AND('Architecting on AWS_Syllabus'!G4,"AAAAAH7b/xc=")</f>
        <v>#VALUE!</v>
      </c>
      <c r="Y1">
        <f>IF('Architecting on AWS_Syllabus'!5:5,"AAAAAH7b/xg=",0)</f>
        <v>0</v>
      </c>
      <c r="Z1" t="e">
        <f>AND('Architecting on AWS_Syllabus'!A5,"AAAAAH7b/xk=")</f>
        <v>#VALUE!</v>
      </c>
      <c r="AA1" t="e">
        <f>AND('Architecting on AWS_Syllabus'!B5,"AAAAAH7b/xo=")</f>
        <v>#VALUE!</v>
      </c>
      <c r="AB1" t="e">
        <f>AND('Architecting on AWS_Syllabus'!C5,"AAAAAH7b/xs=")</f>
        <v>#VALUE!</v>
      </c>
      <c r="AC1" t="e">
        <f>AND('Architecting on AWS_Syllabus'!D5,"AAAAAH7b/xw=")</f>
        <v>#VALUE!</v>
      </c>
      <c r="AD1" t="e">
        <f>AND('Architecting on AWS_Syllabus'!E5,"AAAAAH7b/x0=")</f>
        <v>#VALUE!</v>
      </c>
      <c r="AE1" t="e">
        <f>AND('Architecting on AWS_Syllabus'!F5,"AAAAAH7b/x4=")</f>
        <v>#VALUE!</v>
      </c>
      <c r="AF1" t="e">
        <f>AND('Architecting on AWS_Syllabus'!G5,"AAAAAH7b/x8=")</f>
        <v>#VALUE!</v>
      </c>
      <c r="AG1">
        <f>IF('Architecting on AWS_Syllabus'!6:6,"AAAAAH7b/yA=",0)</f>
        <v>0</v>
      </c>
      <c r="AH1" t="e">
        <f>AND('Architecting on AWS_Syllabus'!A6,"AAAAAH7b/yE=")</f>
        <v>#VALUE!</v>
      </c>
      <c r="AI1" t="e">
        <f>AND('Architecting on AWS_Syllabus'!B6,"AAAAAH7b/yI=")</f>
        <v>#VALUE!</v>
      </c>
      <c r="AJ1" t="e">
        <f>AND('Architecting on AWS_Syllabus'!C6,"AAAAAH7b/yM=")</f>
        <v>#VALUE!</v>
      </c>
      <c r="AK1" t="e">
        <f>AND('Architecting on AWS_Syllabus'!D6,"AAAAAH7b/yQ=")</f>
        <v>#VALUE!</v>
      </c>
      <c r="AL1" t="e">
        <f>AND('Architecting on AWS_Syllabus'!E6,"AAAAAH7b/yU=")</f>
        <v>#VALUE!</v>
      </c>
      <c r="AM1" t="e">
        <f>AND('Architecting on AWS_Syllabus'!F6,"AAAAAH7b/yY=")</f>
        <v>#VALUE!</v>
      </c>
      <c r="AN1" t="e">
        <f>AND('Architecting on AWS_Syllabus'!G6,"AAAAAH7b/yc=")</f>
        <v>#VALUE!</v>
      </c>
      <c r="AO1">
        <f>IF('Architecting on AWS_Syllabus'!7:7,"AAAAAH7b/yg=",0)</f>
        <v>0</v>
      </c>
      <c r="AP1" t="e">
        <f>AND('Architecting on AWS_Syllabus'!A7,"AAAAAH7b/yk=")</f>
        <v>#VALUE!</v>
      </c>
      <c r="AQ1" t="e">
        <f>AND('Architecting on AWS_Syllabus'!B7,"AAAAAH7b/yo=")</f>
        <v>#VALUE!</v>
      </c>
      <c r="AR1" t="e">
        <f>AND('Architecting on AWS_Syllabus'!C7,"AAAAAH7b/ys=")</f>
        <v>#VALUE!</v>
      </c>
      <c r="AS1" t="e">
        <f>AND('Architecting on AWS_Syllabus'!D7,"AAAAAH7b/yw=")</f>
        <v>#VALUE!</v>
      </c>
      <c r="AT1" t="e">
        <f>AND('Architecting on AWS_Syllabus'!E7,"AAAAAH7b/y0=")</f>
        <v>#VALUE!</v>
      </c>
      <c r="AU1" t="e">
        <f>AND('Architecting on AWS_Syllabus'!F7,"AAAAAH7b/y4=")</f>
        <v>#VALUE!</v>
      </c>
      <c r="AV1" t="e">
        <f>AND('Architecting on AWS_Syllabus'!G7,"AAAAAH7b/y8=")</f>
        <v>#VALUE!</v>
      </c>
      <c r="AW1">
        <f>IF('Architecting on AWS_Syllabus'!8:8,"AAAAAH7b/zA=",0)</f>
        <v>0</v>
      </c>
      <c r="AX1" t="e">
        <f>AND('Architecting on AWS_Syllabus'!A8,"AAAAAH7b/zE=")</f>
        <v>#VALUE!</v>
      </c>
      <c r="AY1" t="e">
        <f>AND('Architecting on AWS_Syllabus'!B8,"AAAAAH7b/zI=")</f>
        <v>#VALUE!</v>
      </c>
      <c r="AZ1" t="e">
        <f>AND('Architecting on AWS_Syllabus'!C8,"AAAAAH7b/zM=")</f>
        <v>#VALUE!</v>
      </c>
      <c r="BA1" t="e">
        <f>AND('Architecting on AWS_Syllabus'!D8,"AAAAAH7b/zQ=")</f>
        <v>#VALUE!</v>
      </c>
      <c r="BB1" t="e">
        <f>AND('Architecting on AWS_Syllabus'!E8,"AAAAAH7b/zU=")</f>
        <v>#VALUE!</v>
      </c>
      <c r="BC1" t="e">
        <f>AND('Architecting on AWS_Syllabus'!F8,"AAAAAH7b/zY=")</f>
        <v>#VALUE!</v>
      </c>
      <c r="BD1" t="e">
        <f>AND('Architecting on AWS_Syllabus'!G8,"AAAAAH7b/zc=")</f>
        <v>#VALUE!</v>
      </c>
      <c r="BE1" t="e">
        <f>IF('Architecting on AWS_Syllabus'!#REF!,"AAAAAH7b/zg=",0)</f>
        <v>#REF!</v>
      </c>
      <c r="BF1" t="e">
        <f>AND('Architecting on AWS_Syllabus'!#REF!,"AAAAAH7b/zk=")</f>
        <v>#REF!</v>
      </c>
      <c r="BG1" t="e">
        <f>AND('Architecting on AWS_Syllabus'!#REF!,"AAAAAH7b/zo=")</f>
        <v>#REF!</v>
      </c>
      <c r="BH1" t="e">
        <f>AND('Architecting on AWS_Syllabus'!#REF!,"AAAAAH7b/zs=")</f>
        <v>#REF!</v>
      </c>
      <c r="BI1" t="e">
        <f>AND('Architecting on AWS_Syllabus'!#REF!,"AAAAAH7b/zw=")</f>
        <v>#REF!</v>
      </c>
      <c r="BJ1" t="e">
        <f>AND('Architecting on AWS_Syllabus'!#REF!,"AAAAAH7b/z0=")</f>
        <v>#REF!</v>
      </c>
      <c r="BK1" t="e">
        <f>AND('Architecting on AWS_Syllabus'!#REF!,"AAAAAH7b/z4=")</f>
        <v>#REF!</v>
      </c>
      <c r="BL1" t="e">
        <f>AND('Architecting on AWS_Syllabus'!#REF!,"AAAAAH7b/z8=")</f>
        <v>#REF!</v>
      </c>
      <c r="BM1" t="e">
        <f>IF('Architecting on AWS_Syllabus'!#REF!,"AAAAAH7b/0A=",0)</f>
        <v>#REF!</v>
      </c>
      <c r="BN1" t="e">
        <f>AND('Architecting on AWS_Syllabus'!#REF!,"AAAAAH7b/0E=")</f>
        <v>#REF!</v>
      </c>
      <c r="BO1" t="e">
        <f>AND('Architecting on AWS_Syllabus'!#REF!,"AAAAAH7b/0I=")</f>
        <v>#REF!</v>
      </c>
      <c r="BP1" t="e">
        <f>AND('Architecting on AWS_Syllabus'!#REF!,"AAAAAH7b/0M=")</f>
        <v>#REF!</v>
      </c>
      <c r="BQ1" t="e">
        <f>AND('Architecting on AWS_Syllabus'!#REF!,"AAAAAH7b/0Q=")</f>
        <v>#REF!</v>
      </c>
      <c r="BR1" t="e">
        <f>AND('Architecting on AWS_Syllabus'!#REF!,"AAAAAH7b/0U=")</f>
        <v>#REF!</v>
      </c>
      <c r="BS1" t="e">
        <f>AND('Architecting on AWS_Syllabus'!#REF!,"AAAAAH7b/0Y=")</f>
        <v>#REF!</v>
      </c>
      <c r="BT1" t="e">
        <f>AND('Architecting on AWS_Syllabus'!#REF!,"AAAAAH7b/0c=")</f>
        <v>#REF!</v>
      </c>
      <c r="BU1" t="e">
        <f>IF('Architecting on AWS_Syllabus'!#REF!,"AAAAAH7b/0g=",0)</f>
        <v>#REF!</v>
      </c>
      <c r="BV1" t="e">
        <f>AND('Architecting on AWS_Syllabus'!#REF!,"AAAAAH7b/0k=")</f>
        <v>#REF!</v>
      </c>
      <c r="BW1" t="e">
        <f>AND('Architecting on AWS_Syllabus'!#REF!,"AAAAAH7b/0o=")</f>
        <v>#REF!</v>
      </c>
      <c r="BX1" t="e">
        <f>AND('Architecting on AWS_Syllabus'!#REF!,"AAAAAH7b/0s=")</f>
        <v>#REF!</v>
      </c>
      <c r="BY1" t="e">
        <f>AND('Architecting on AWS_Syllabus'!#REF!,"AAAAAH7b/0w=")</f>
        <v>#REF!</v>
      </c>
      <c r="BZ1" t="e">
        <f>AND('Architecting on AWS_Syllabus'!#REF!,"AAAAAH7b/00=")</f>
        <v>#REF!</v>
      </c>
      <c r="CA1" t="e">
        <f>AND('Architecting on AWS_Syllabus'!#REF!,"AAAAAH7b/04=")</f>
        <v>#REF!</v>
      </c>
      <c r="CB1" t="e">
        <f>AND('Architecting on AWS_Syllabus'!#REF!,"AAAAAH7b/08=")</f>
        <v>#REF!</v>
      </c>
      <c r="CC1" t="e">
        <f>IF('Architecting on AWS_Syllabus'!#REF!,"AAAAAH7b/1A=",0)</f>
        <v>#REF!</v>
      </c>
      <c r="CD1" t="e">
        <f>AND('Architecting on AWS_Syllabus'!#REF!,"AAAAAH7b/1E=")</f>
        <v>#REF!</v>
      </c>
      <c r="CE1" t="e">
        <f>AND('Architecting on AWS_Syllabus'!#REF!,"AAAAAH7b/1I=")</f>
        <v>#REF!</v>
      </c>
      <c r="CF1" t="e">
        <f>AND('Architecting on AWS_Syllabus'!#REF!,"AAAAAH7b/1M=")</f>
        <v>#REF!</v>
      </c>
      <c r="CG1" t="e">
        <f>AND('Architecting on AWS_Syllabus'!#REF!,"AAAAAH7b/1Q=")</f>
        <v>#REF!</v>
      </c>
      <c r="CH1" t="e">
        <f>AND('Architecting on AWS_Syllabus'!#REF!,"AAAAAH7b/1U=")</f>
        <v>#REF!</v>
      </c>
      <c r="CI1" t="e">
        <f>AND('Architecting on AWS_Syllabus'!#REF!,"AAAAAH7b/1Y=")</f>
        <v>#REF!</v>
      </c>
      <c r="CJ1" t="e">
        <f>AND('Architecting on AWS_Syllabus'!#REF!,"AAAAAH7b/1c=")</f>
        <v>#REF!</v>
      </c>
      <c r="CK1">
        <f>IF('Architecting on AWS_Syllabus'!9:9,"AAAAAH7b/1g=",0)</f>
        <v>0</v>
      </c>
      <c r="CL1" t="e">
        <f>AND('Architecting on AWS_Syllabus'!A9,"AAAAAH7b/1k=")</f>
        <v>#VALUE!</v>
      </c>
      <c r="CM1" t="e">
        <f>AND('Architecting on AWS_Syllabus'!B9,"AAAAAH7b/1o=")</f>
        <v>#VALUE!</v>
      </c>
      <c r="CN1" t="e">
        <f>AND('Architecting on AWS_Syllabus'!C9,"AAAAAH7b/1s=")</f>
        <v>#VALUE!</v>
      </c>
      <c r="CO1" t="e">
        <f>AND('Architecting on AWS_Syllabus'!D9,"AAAAAH7b/1w=")</f>
        <v>#VALUE!</v>
      </c>
      <c r="CP1" t="e">
        <f>AND('Architecting on AWS_Syllabus'!E9,"AAAAAH7b/10=")</f>
        <v>#VALUE!</v>
      </c>
      <c r="CQ1" t="e">
        <f>AND('Architecting on AWS_Syllabus'!F9,"AAAAAH7b/14=")</f>
        <v>#VALUE!</v>
      </c>
      <c r="CR1" t="e">
        <f>AND('Architecting on AWS_Syllabus'!G9,"AAAAAH7b/18=")</f>
        <v>#VALUE!</v>
      </c>
      <c r="CS1">
        <f>IF('Architecting on AWS_Syllabus'!10:10,"AAAAAH7b/2A=",0)</f>
        <v>0</v>
      </c>
      <c r="CT1" t="e">
        <f>AND('Architecting on AWS_Syllabus'!A10,"AAAAAH7b/2E=")</f>
        <v>#VALUE!</v>
      </c>
      <c r="CU1" t="e">
        <f>AND('Architecting on AWS_Syllabus'!B10,"AAAAAH7b/2I=")</f>
        <v>#VALUE!</v>
      </c>
      <c r="CV1" t="e">
        <f>AND('Architecting on AWS_Syllabus'!C10,"AAAAAH7b/2M=")</f>
        <v>#VALUE!</v>
      </c>
      <c r="CW1" t="e">
        <f>AND('Architecting on AWS_Syllabus'!D10,"AAAAAH7b/2Q=")</f>
        <v>#VALUE!</v>
      </c>
      <c r="CX1" t="e">
        <f>AND('Architecting on AWS_Syllabus'!E10,"AAAAAH7b/2U=")</f>
        <v>#VALUE!</v>
      </c>
      <c r="CY1" t="e">
        <f>AND('Architecting on AWS_Syllabus'!F10,"AAAAAH7b/2Y=")</f>
        <v>#VALUE!</v>
      </c>
      <c r="CZ1" t="e">
        <f>AND('Architecting on AWS_Syllabus'!G10,"AAAAAH7b/2c=")</f>
        <v>#VALUE!</v>
      </c>
      <c r="DA1">
        <f>IF('Architecting on AWS_Syllabus'!11:11,"AAAAAH7b/2g=",0)</f>
        <v>0</v>
      </c>
      <c r="DB1" t="e">
        <f>AND('Architecting on AWS_Syllabus'!A11,"AAAAAH7b/2k=")</f>
        <v>#VALUE!</v>
      </c>
      <c r="DC1" t="e">
        <f>AND('Architecting on AWS_Syllabus'!B11,"AAAAAH7b/2o=")</f>
        <v>#VALUE!</v>
      </c>
      <c r="DD1" t="e">
        <f>AND('Architecting on AWS_Syllabus'!C11,"AAAAAH7b/2s=")</f>
        <v>#VALUE!</v>
      </c>
      <c r="DE1" t="e">
        <f>AND('Architecting on AWS_Syllabus'!D11,"AAAAAH7b/2w=")</f>
        <v>#VALUE!</v>
      </c>
      <c r="DF1" t="e">
        <f>AND('Architecting on AWS_Syllabus'!E11,"AAAAAH7b/20=")</f>
        <v>#VALUE!</v>
      </c>
      <c r="DG1" t="e">
        <f>AND('Architecting on AWS_Syllabus'!F11,"AAAAAH7b/24=")</f>
        <v>#VALUE!</v>
      </c>
      <c r="DH1" t="e">
        <f>AND('Architecting on AWS_Syllabus'!G11,"AAAAAH7b/28=")</f>
        <v>#VALUE!</v>
      </c>
      <c r="DI1">
        <f>IF('Architecting on AWS_Syllabus'!12:12,"AAAAAH7b/3A=",0)</f>
        <v>0</v>
      </c>
      <c r="DJ1" t="e">
        <f>AND('Architecting on AWS_Syllabus'!A12,"AAAAAH7b/3E=")</f>
        <v>#VALUE!</v>
      </c>
      <c r="DK1" t="e">
        <f>AND('Architecting on AWS_Syllabus'!B12,"AAAAAH7b/3I=")</f>
        <v>#VALUE!</v>
      </c>
      <c r="DL1" t="e">
        <f>AND('Architecting on AWS_Syllabus'!C12,"AAAAAH7b/3M=")</f>
        <v>#VALUE!</v>
      </c>
      <c r="DM1" t="e">
        <f>AND('Architecting on AWS_Syllabus'!D12,"AAAAAH7b/3Q=")</f>
        <v>#VALUE!</v>
      </c>
      <c r="DN1" t="e">
        <f>AND('Architecting on AWS_Syllabus'!E12,"AAAAAH7b/3U=")</f>
        <v>#VALUE!</v>
      </c>
      <c r="DO1" t="e">
        <f>AND('Architecting on AWS_Syllabus'!F12,"AAAAAH7b/3Y=")</f>
        <v>#VALUE!</v>
      </c>
      <c r="DP1" t="e">
        <f>AND('Architecting on AWS_Syllabus'!G12,"AAAAAH7b/3c=")</f>
        <v>#VALUE!</v>
      </c>
      <c r="DQ1">
        <f>IF('Architecting on AWS_Syllabus'!13:13,"AAAAAH7b/3g=",0)</f>
        <v>0</v>
      </c>
      <c r="DR1" t="e">
        <f>AND('Architecting on AWS_Syllabus'!A13,"AAAAAH7b/3k=")</f>
        <v>#VALUE!</v>
      </c>
      <c r="DS1" t="e">
        <f>AND('Architecting on AWS_Syllabus'!B13,"AAAAAH7b/3o=")</f>
        <v>#VALUE!</v>
      </c>
      <c r="DT1" t="e">
        <f>AND('Architecting on AWS_Syllabus'!C13,"AAAAAH7b/3s=")</f>
        <v>#VALUE!</v>
      </c>
      <c r="DU1" t="e">
        <f>AND('Architecting on AWS_Syllabus'!D13,"AAAAAH7b/3w=")</f>
        <v>#VALUE!</v>
      </c>
      <c r="DV1" t="e">
        <f>AND('Architecting on AWS_Syllabus'!E13,"AAAAAH7b/30=")</f>
        <v>#VALUE!</v>
      </c>
      <c r="DW1" t="e">
        <f>AND('Architecting on AWS_Syllabus'!F13,"AAAAAH7b/34=")</f>
        <v>#VALUE!</v>
      </c>
      <c r="DX1" t="e">
        <f>AND('Architecting on AWS_Syllabus'!G13,"AAAAAH7b/38=")</f>
        <v>#VALUE!</v>
      </c>
      <c r="DY1">
        <f>IF('Architecting on AWS_Syllabus'!14:14,"AAAAAH7b/4A=",0)</f>
        <v>0</v>
      </c>
      <c r="DZ1" t="e">
        <f>AND('Architecting on AWS_Syllabus'!A14,"AAAAAH7b/4E=")</f>
        <v>#VALUE!</v>
      </c>
      <c r="EA1" t="e">
        <f>AND('Architecting on AWS_Syllabus'!B14,"AAAAAH7b/4I=")</f>
        <v>#VALUE!</v>
      </c>
      <c r="EB1" t="e">
        <f>AND('Architecting on AWS_Syllabus'!C14,"AAAAAH7b/4M=")</f>
        <v>#VALUE!</v>
      </c>
      <c r="EC1" t="e">
        <f>AND('Architecting on AWS_Syllabus'!D14,"AAAAAH7b/4Q=")</f>
        <v>#VALUE!</v>
      </c>
      <c r="ED1" t="e">
        <f>AND('Architecting on AWS_Syllabus'!E14,"AAAAAH7b/4U=")</f>
        <v>#VALUE!</v>
      </c>
      <c r="EE1" t="e">
        <f>AND('Architecting on AWS_Syllabus'!F14,"AAAAAH7b/4Y=")</f>
        <v>#VALUE!</v>
      </c>
      <c r="EF1" t="e">
        <f>AND('Architecting on AWS_Syllabus'!G14,"AAAAAH7b/4c=")</f>
        <v>#VALUE!</v>
      </c>
      <c r="EG1">
        <f>IF('Architecting on AWS_Syllabus'!15:15,"AAAAAH7b/4g=",0)</f>
        <v>0</v>
      </c>
      <c r="EH1" t="e">
        <f>AND('Architecting on AWS_Syllabus'!A15,"AAAAAH7b/4k=")</f>
        <v>#VALUE!</v>
      </c>
      <c r="EI1" t="e">
        <f>AND('Architecting on AWS_Syllabus'!B15,"AAAAAH7b/4o=")</f>
        <v>#VALUE!</v>
      </c>
      <c r="EJ1" t="e">
        <f>AND('Architecting on AWS_Syllabus'!C15,"AAAAAH7b/4s=")</f>
        <v>#VALUE!</v>
      </c>
      <c r="EK1" t="e">
        <f>AND('Architecting on AWS_Syllabus'!D15,"AAAAAH7b/4w=")</f>
        <v>#VALUE!</v>
      </c>
      <c r="EL1" t="e">
        <f>AND('Architecting on AWS_Syllabus'!E15,"AAAAAH7b/40=")</f>
        <v>#VALUE!</v>
      </c>
      <c r="EM1" t="e">
        <f>AND('Architecting on AWS_Syllabus'!F15,"AAAAAH7b/44=")</f>
        <v>#VALUE!</v>
      </c>
      <c r="EN1" t="e">
        <f>AND('Architecting on AWS_Syllabus'!G15,"AAAAAH7b/48=")</f>
        <v>#VALUE!</v>
      </c>
      <c r="EO1">
        <f>IF('Architecting on AWS_Syllabus'!16:16,"AAAAAH7b/5A=",0)</f>
        <v>0</v>
      </c>
      <c r="EP1" t="e">
        <f>AND('Architecting on AWS_Syllabus'!A16,"AAAAAH7b/5E=")</f>
        <v>#VALUE!</v>
      </c>
      <c r="EQ1" t="e">
        <f>AND('Architecting on AWS_Syllabus'!B16,"AAAAAH7b/5I=")</f>
        <v>#VALUE!</v>
      </c>
      <c r="ER1" t="e">
        <f>AND('Architecting on AWS_Syllabus'!C16,"AAAAAH7b/5M=")</f>
        <v>#VALUE!</v>
      </c>
      <c r="ES1" t="e">
        <f>AND('Architecting on AWS_Syllabus'!D16,"AAAAAH7b/5Q=")</f>
        <v>#VALUE!</v>
      </c>
      <c r="ET1" t="e">
        <f>AND('Architecting on AWS_Syllabus'!E16,"AAAAAH7b/5U=")</f>
        <v>#VALUE!</v>
      </c>
      <c r="EU1" t="e">
        <f>AND('Architecting on AWS_Syllabus'!F16,"AAAAAH7b/5Y=")</f>
        <v>#VALUE!</v>
      </c>
      <c r="EV1" t="e">
        <f>AND('Architecting on AWS_Syllabus'!G16,"AAAAAH7b/5c=")</f>
        <v>#VALUE!</v>
      </c>
      <c r="EW1">
        <f>IF('Architecting on AWS_Syllabus'!17:17,"AAAAAH7b/5g=",0)</f>
        <v>0</v>
      </c>
      <c r="EX1" t="e">
        <f>AND('Architecting on AWS_Syllabus'!A17,"AAAAAH7b/5k=")</f>
        <v>#VALUE!</v>
      </c>
      <c r="EY1" t="e">
        <f>AND('Architecting on AWS_Syllabus'!B17,"AAAAAH7b/5o=")</f>
        <v>#VALUE!</v>
      </c>
      <c r="EZ1" t="e">
        <f>AND('Architecting on AWS_Syllabus'!C17,"AAAAAH7b/5s=")</f>
        <v>#VALUE!</v>
      </c>
      <c r="FA1" t="e">
        <f>AND('Architecting on AWS_Syllabus'!D17,"AAAAAH7b/5w=")</f>
        <v>#VALUE!</v>
      </c>
      <c r="FB1" t="e">
        <f>AND('Architecting on AWS_Syllabus'!E17,"AAAAAH7b/50=")</f>
        <v>#VALUE!</v>
      </c>
      <c r="FC1" t="e">
        <f>AND('Architecting on AWS_Syllabus'!F17,"AAAAAH7b/54=")</f>
        <v>#VALUE!</v>
      </c>
      <c r="FD1" t="e">
        <f>AND('Architecting on AWS_Syllabus'!G17,"AAAAAH7b/58=")</f>
        <v>#VALUE!</v>
      </c>
      <c r="FE1">
        <f>IF('Architecting on AWS_Syllabus'!18:18,"AAAAAH7b/6A=",0)</f>
        <v>0</v>
      </c>
      <c r="FF1" t="e">
        <f>AND('Architecting on AWS_Syllabus'!A18,"AAAAAH7b/6E=")</f>
        <v>#VALUE!</v>
      </c>
      <c r="FG1" t="e">
        <f>AND('Architecting on AWS_Syllabus'!B18,"AAAAAH7b/6I=")</f>
        <v>#VALUE!</v>
      </c>
      <c r="FH1" t="e">
        <f>AND('Architecting on AWS_Syllabus'!C18,"AAAAAH7b/6M=")</f>
        <v>#VALUE!</v>
      </c>
      <c r="FI1" t="e">
        <f>AND('Architecting on AWS_Syllabus'!D18,"AAAAAH7b/6Q=")</f>
        <v>#VALUE!</v>
      </c>
      <c r="FJ1" t="e">
        <f>AND('Architecting on AWS_Syllabus'!E18,"AAAAAH7b/6U=")</f>
        <v>#VALUE!</v>
      </c>
      <c r="FK1" t="e">
        <f>AND('Architecting on AWS_Syllabus'!F18,"AAAAAH7b/6Y=")</f>
        <v>#VALUE!</v>
      </c>
      <c r="FL1" t="e">
        <f>AND('Architecting on AWS_Syllabus'!G18,"AAAAAH7b/6c=")</f>
        <v>#VALUE!</v>
      </c>
      <c r="FM1">
        <f>IF('Architecting on AWS_Syllabus'!19:19,"AAAAAH7b/6g=",0)</f>
        <v>0</v>
      </c>
      <c r="FN1" t="e">
        <f>AND('Architecting on AWS_Syllabus'!A19,"AAAAAH7b/6k=")</f>
        <v>#VALUE!</v>
      </c>
      <c r="FO1" t="e">
        <f>AND('Architecting on AWS_Syllabus'!B19,"AAAAAH7b/6o=")</f>
        <v>#VALUE!</v>
      </c>
      <c r="FP1" t="e">
        <f>AND('Architecting on AWS_Syllabus'!C19,"AAAAAH7b/6s=")</f>
        <v>#VALUE!</v>
      </c>
      <c r="FQ1" t="e">
        <f>AND('Architecting on AWS_Syllabus'!D19,"AAAAAH7b/6w=")</f>
        <v>#VALUE!</v>
      </c>
      <c r="FR1" t="e">
        <f>AND('Architecting on AWS_Syllabus'!E19,"AAAAAH7b/60=")</f>
        <v>#VALUE!</v>
      </c>
      <c r="FS1" t="e">
        <f>AND('Architecting on AWS_Syllabus'!F19,"AAAAAH7b/64=")</f>
        <v>#VALUE!</v>
      </c>
      <c r="FT1" t="e">
        <f>AND('Architecting on AWS_Syllabus'!G19,"AAAAAH7b/68=")</f>
        <v>#VALUE!</v>
      </c>
      <c r="FU1">
        <f>IF('Architecting on AWS_Syllabus'!20:20,"AAAAAH7b/7A=",0)</f>
        <v>0</v>
      </c>
      <c r="FV1" t="e">
        <f>AND('Architecting on AWS_Syllabus'!A20,"AAAAAH7b/7E=")</f>
        <v>#VALUE!</v>
      </c>
      <c r="FW1" t="e">
        <f>AND('Architecting on AWS_Syllabus'!B20,"AAAAAH7b/7I=")</f>
        <v>#VALUE!</v>
      </c>
      <c r="FX1" t="e">
        <f>AND('Architecting on AWS_Syllabus'!C20,"AAAAAH7b/7M=")</f>
        <v>#VALUE!</v>
      </c>
      <c r="FY1" t="e">
        <f>AND('Architecting on AWS_Syllabus'!D20,"AAAAAH7b/7Q=")</f>
        <v>#VALUE!</v>
      </c>
      <c r="FZ1" t="e">
        <f>AND('Architecting on AWS_Syllabus'!E20,"AAAAAH7b/7U=")</f>
        <v>#VALUE!</v>
      </c>
      <c r="GA1" t="e">
        <f>AND('Architecting on AWS_Syllabus'!F20,"AAAAAH7b/7Y=")</f>
        <v>#VALUE!</v>
      </c>
      <c r="GB1" t="e">
        <f>AND('Architecting on AWS_Syllabus'!G20,"AAAAAH7b/7c=")</f>
        <v>#VALUE!</v>
      </c>
      <c r="GC1">
        <f>IF('Architecting on AWS_Syllabus'!21:21,"AAAAAH7b/7g=",0)</f>
        <v>0</v>
      </c>
      <c r="GD1" t="e">
        <f>AND('Architecting on AWS_Syllabus'!A21,"AAAAAH7b/7k=")</f>
        <v>#VALUE!</v>
      </c>
      <c r="GE1" t="e">
        <f>AND('Architecting on AWS_Syllabus'!B21,"AAAAAH7b/7o=")</f>
        <v>#VALUE!</v>
      </c>
      <c r="GF1" t="e">
        <f>AND('Architecting on AWS_Syllabus'!C21,"AAAAAH7b/7s=")</f>
        <v>#VALUE!</v>
      </c>
      <c r="GG1" t="e">
        <f>AND('Architecting on AWS_Syllabus'!D21,"AAAAAH7b/7w=")</f>
        <v>#VALUE!</v>
      </c>
      <c r="GH1" t="e">
        <f>AND('Architecting on AWS_Syllabus'!E21,"AAAAAH7b/70=")</f>
        <v>#VALUE!</v>
      </c>
      <c r="GI1" t="e">
        <f>AND('Architecting on AWS_Syllabus'!F21,"AAAAAH7b/74=")</f>
        <v>#VALUE!</v>
      </c>
      <c r="GJ1" t="e">
        <f>AND('Architecting on AWS_Syllabus'!G21,"AAAAAH7b/78=")</f>
        <v>#VALUE!</v>
      </c>
      <c r="GK1">
        <f>IF('Architecting on AWS_Syllabus'!22:22,"AAAAAH7b/8A=",0)</f>
        <v>0</v>
      </c>
      <c r="GL1" t="e">
        <f>AND('Architecting on AWS_Syllabus'!A22,"AAAAAH7b/8E=")</f>
        <v>#VALUE!</v>
      </c>
      <c r="GM1" t="e">
        <f>AND('Architecting on AWS_Syllabus'!B22,"AAAAAH7b/8I=")</f>
        <v>#VALUE!</v>
      </c>
      <c r="GN1" t="e">
        <f>AND('Architecting on AWS_Syllabus'!C22,"AAAAAH7b/8M=")</f>
        <v>#VALUE!</v>
      </c>
      <c r="GO1" t="e">
        <f>AND('Architecting on AWS_Syllabus'!D22,"AAAAAH7b/8Q=")</f>
        <v>#VALUE!</v>
      </c>
      <c r="GP1" t="e">
        <f>AND('Architecting on AWS_Syllabus'!E22,"AAAAAH7b/8U=")</f>
        <v>#VALUE!</v>
      </c>
      <c r="GQ1" t="e">
        <f>AND('Architecting on AWS_Syllabus'!F22,"AAAAAH7b/8Y=")</f>
        <v>#VALUE!</v>
      </c>
      <c r="GR1" t="e">
        <f>AND('Architecting on AWS_Syllabus'!G22,"AAAAAH7b/8c=")</f>
        <v>#VALUE!</v>
      </c>
      <c r="GS1">
        <f>IF('Architecting on AWS_Syllabus'!23:23,"AAAAAH7b/8g=",0)</f>
        <v>0</v>
      </c>
      <c r="GT1" t="e">
        <f>AND('Architecting on AWS_Syllabus'!A23,"AAAAAH7b/8k=")</f>
        <v>#VALUE!</v>
      </c>
      <c r="GU1" t="e">
        <f>AND('Architecting on AWS_Syllabus'!B23,"AAAAAH7b/8o=")</f>
        <v>#VALUE!</v>
      </c>
      <c r="GV1" t="e">
        <f>AND('Architecting on AWS_Syllabus'!C23,"AAAAAH7b/8s=")</f>
        <v>#VALUE!</v>
      </c>
      <c r="GW1" t="e">
        <f>AND('Architecting on AWS_Syllabus'!D23,"AAAAAH7b/8w=")</f>
        <v>#VALUE!</v>
      </c>
      <c r="GX1" t="e">
        <f>AND('Architecting on AWS_Syllabus'!E23,"AAAAAH7b/80=")</f>
        <v>#VALUE!</v>
      </c>
      <c r="GY1" t="e">
        <f>AND('Architecting on AWS_Syllabus'!F23,"AAAAAH7b/84=")</f>
        <v>#VALUE!</v>
      </c>
      <c r="GZ1" t="e">
        <f>AND('Architecting on AWS_Syllabus'!G23,"AAAAAH7b/88=")</f>
        <v>#VALUE!</v>
      </c>
      <c r="HA1">
        <f>IF('Architecting on AWS_Syllabus'!24:24,"AAAAAH7b/9A=",0)</f>
        <v>0</v>
      </c>
      <c r="HB1" t="e">
        <f>AND('Architecting on AWS_Syllabus'!A24,"AAAAAH7b/9E=")</f>
        <v>#VALUE!</v>
      </c>
      <c r="HC1" t="e">
        <f>AND('Architecting on AWS_Syllabus'!B24,"AAAAAH7b/9I=")</f>
        <v>#VALUE!</v>
      </c>
      <c r="HD1" t="e">
        <f>AND('Architecting on AWS_Syllabus'!C24,"AAAAAH7b/9M=")</f>
        <v>#VALUE!</v>
      </c>
      <c r="HE1" t="e">
        <f>AND('Architecting on AWS_Syllabus'!D24,"AAAAAH7b/9Q=")</f>
        <v>#VALUE!</v>
      </c>
      <c r="HF1" t="e">
        <f>AND('Architecting on AWS_Syllabus'!E24,"AAAAAH7b/9U=")</f>
        <v>#VALUE!</v>
      </c>
      <c r="HG1" t="e">
        <f>AND('Architecting on AWS_Syllabus'!F24,"AAAAAH7b/9Y=")</f>
        <v>#VALUE!</v>
      </c>
      <c r="HH1" t="e">
        <f>AND('Architecting on AWS_Syllabus'!G24,"AAAAAH7b/9c=")</f>
        <v>#VALUE!</v>
      </c>
      <c r="HI1">
        <f>IF('Architecting on AWS_Syllabus'!25:25,"AAAAAH7b/9g=",0)</f>
        <v>0</v>
      </c>
      <c r="HJ1" t="e">
        <f>AND('Architecting on AWS_Syllabus'!A25,"AAAAAH7b/9k=")</f>
        <v>#VALUE!</v>
      </c>
      <c r="HK1" t="e">
        <f>AND('Architecting on AWS_Syllabus'!B25,"AAAAAH7b/9o=")</f>
        <v>#VALUE!</v>
      </c>
      <c r="HL1" t="e">
        <f>AND('Architecting on AWS_Syllabus'!C25,"AAAAAH7b/9s=")</f>
        <v>#VALUE!</v>
      </c>
      <c r="HM1" t="e">
        <f>AND('Architecting on AWS_Syllabus'!D25,"AAAAAH7b/9w=")</f>
        <v>#VALUE!</v>
      </c>
      <c r="HN1" t="e">
        <f>AND('Architecting on AWS_Syllabus'!E25,"AAAAAH7b/90=")</f>
        <v>#VALUE!</v>
      </c>
      <c r="HO1" t="e">
        <f>AND('Architecting on AWS_Syllabus'!F25,"AAAAAH7b/94=")</f>
        <v>#VALUE!</v>
      </c>
      <c r="HP1" t="e">
        <f>AND('Architecting on AWS_Syllabus'!G25,"AAAAAH7b/98=")</f>
        <v>#VALUE!</v>
      </c>
      <c r="HQ1">
        <f>IF('Architecting on AWS_Syllabus'!26:26,"AAAAAH7b/+A=",0)</f>
        <v>0</v>
      </c>
      <c r="HR1" t="e">
        <f>AND('Architecting on AWS_Syllabus'!A26,"AAAAAH7b/+E=")</f>
        <v>#VALUE!</v>
      </c>
      <c r="HS1" t="e">
        <f>AND('Architecting on AWS_Syllabus'!B26,"AAAAAH7b/+I=")</f>
        <v>#VALUE!</v>
      </c>
      <c r="HT1" t="e">
        <f>AND('Architecting on AWS_Syllabus'!C26,"AAAAAH7b/+M=")</f>
        <v>#VALUE!</v>
      </c>
      <c r="HU1" t="e">
        <f>AND('Architecting on AWS_Syllabus'!D26,"AAAAAH7b/+Q=")</f>
        <v>#VALUE!</v>
      </c>
      <c r="HV1" t="e">
        <f>AND('Architecting on AWS_Syllabus'!E26,"AAAAAH7b/+U=")</f>
        <v>#VALUE!</v>
      </c>
      <c r="HW1" t="e">
        <f>AND('Architecting on AWS_Syllabus'!F26,"AAAAAH7b/+Y=")</f>
        <v>#VALUE!</v>
      </c>
      <c r="HX1" t="e">
        <f>AND('Architecting on AWS_Syllabus'!G26,"AAAAAH7b/+c=")</f>
        <v>#VALUE!</v>
      </c>
      <c r="HY1">
        <f>IF('Architecting on AWS_Syllabus'!27:27,"AAAAAH7b/+g=",0)</f>
        <v>0</v>
      </c>
      <c r="HZ1" t="e">
        <f>AND('Architecting on AWS_Syllabus'!A27,"AAAAAH7b/+k=")</f>
        <v>#VALUE!</v>
      </c>
      <c r="IA1" t="e">
        <f>AND('Architecting on AWS_Syllabus'!B27,"AAAAAH7b/+o=")</f>
        <v>#VALUE!</v>
      </c>
      <c r="IB1" t="e">
        <f>AND('Architecting on AWS_Syllabus'!C27,"AAAAAH7b/+s=")</f>
        <v>#VALUE!</v>
      </c>
      <c r="IC1" t="e">
        <f>AND('Architecting on AWS_Syllabus'!D27,"AAAAAH7b/+w=")</f>
        <v>#VALUE!</v>
      </c>
      <c r="ID1" t="e">
        <f>AND('Architecting on AWS_Syllabus'!E27,"AAAAAH7b/+0=")</f>
        <v>#VALUE!</v>
      </c>
      <c r="IE1" t="e">
        <f>AND('Architecting on AWS_Syllabus'!F27,"AAAAAH7b/+4=")</f>
        <v>#VALUE!</v>
      </c>
      <c r="IF1" t="e">
        <f>AND('Architecting on AWS_Syllabus'!G27,"AAAAAH7b/+8=")</f>
        <v>#VALUE!</v>
      </c>
      <c r="IG1">
        <f>IF('Architecting on AWS_Syllabus'!28:28,"AAAAAH7b//A=",0)</f>
        <v>0</v>
      </c>
      <c r="IH1" t="e">
        <f>AND('Architecting on AWS_Syllabus'!A28,"AAAAAH7b//E=")</f>
        <v>#VALUE!</v>
      </c>
      <c r="II1" t="e">
        <f>AND('Architecting on AWS_Syllabus'!B28,"AAAAAH7b//I=")</f>
        <v>#VALUE!</v>
      </c>
      <c r="IJ1" t="e">
        <f>AND('Architecting on AWS_Syllabus'!C28,"AAAAAH7b//M=")</f>
        <v>#VALUE!</v>
      </c>
      <c r="IK1" t="e">
        <f>AND('Architecting on AWS_Syllabus'!D28,"AAAAAH7b//Q=")</f>
        <v>#VALUE!</v>
      </c>
      <c r="IL1" t="e">
        <f>AND('Architecting on AWS_Syllabus'!E28,"AAAAAH7b//U=")</f>
        <v>#VALUE!</v>
      </c>
      <c r="IM1" t="e">
        <f>AND('Architecting on AWS_Syllabus'!F28,"AAAAAH7b//Y=")</f>
        <v>#VALUE!</v>
      </c>
      <c r="IN1" t="e">
        <f>AND('Architecting on AWS_Syllabus'!G28,"AAAAAH7b//c=")</f>
        <v>#VALUE!</v>
      </c>
      <c r="IO1">
        <f>IF('Architecting on AWS_Syllabus'!29:29,"AAAAAH7b//g=",0)</f>
        <v>0</v>
      </c>
      <c r="IP1" t="e">
        <f>AND('Architecting on AWS_Syllabus'!A29,"AAAAAH7b//k=")</f>
        <v>#VALUE!</v>
      </c>
      <c r="IQ1" t="e">
        <f>AND('Architecting on AWS_Syllabus'!B29,"AAAAAH7b//o=")</f>
        <v>#VALUE!</v>
      </c>
      <c r="IR1" t="e">
        <f>AND('Architecting on AWS_Syllabus'!C29,"AAAAAH7b//s=")</f>
        <v>#VALUE!</v>
      </c>
      <c r="IS1" t="e">
        <f>AND('Architecting on AWS_Syllabus'!D29,"AAAAAH7b//w=")</f>
        <v>#VALUE!</v>
      </c>
      <c r="IT1" t="e">
        <f>AND('Architecting on AWS_Syllabus'!E29,"AAAAAH7b//0=")</f>
        <v>#VALUE!</v>
      </c>
      <c r="IU1" t="e">
        <f>AND('Architecting on AWS_Syllabus'!F29,"AAAAAH7b//4=")</f>
        <v>#VALUE!</v>
      </c>
      <c r="IV1" t="e">
        <f>AND('Architecting on AWS_Syllabus'!G29,"AAAAAH7b//8=")</f>
        <v>#VALUE!</v>
      </c>
    </row>
    <row r="2" spans="1:256">
      <c r="A2">
        <f>IF('Architecting on AWS_Syllabus'!30:30,"AAAAAH/vfwA=",0)</f>
        <v>0</v>
      </c>
      <c r="B2" t="e">
        <f>AND('Architecting on AWS_Syllabus'!A30,"AAAAAH/vfwE=")</f>
        <v>#VALUE!</v>
      </c>
      <c r="C2" t="e">
        <f>AND('Architecting on AWS_Syllabus'!B30,"AAAAAH/vfwI=")</f>
        <v>#VALUE!</v>
      </c>
      <c r="D2" t="e">
        <f>AND('Architecting on AWS_Syllabus'!C30,"AAAAAH/vfwM=")</f>
        <v>#VALUE!</v>
      </c>
      <c r="E2" t="e">
        <f>AND('Architecting on AWS_Syllabus'!D30,"AAAAAH/vfwQ=")</f>
        <v>#VALUE!</v>
      </c>
      <c r="F2" t="e">
        <f>AND('Architecting on AWS_Syllabus'!E30,"AAAAAH/vfwU=")</f>
        <v>#VALUE!</v>
      </c>
      <c r="G2" t="e">
        <f>AND('Architecting on AWS_Syllabus'!F30,"AAAAAH/vfwY=")</f>
        <v>#VALUE!</v>
      </c>
      <c r="H2" t="e">
        <f>AND('Architecting on AWS_Syllabus'!G30,"AAAAAH/vfwc=")</f>
        <v>#VALUE!</v>
      </c>
      <c r="I2">
        <f>IF('Architecting on AWS_Syllabus'!31:31,"AAAAAH/vfwg=",0)</f>
        <v>0</v>
      </c>
      <c r="J2" t="e">
        <f>AND('Architecting on AWS_Syllabus'!A31,"AAAAAH/vfwk=")</f>
        <v>#VALUE!</v>
      </c>
      <c r="K2" t="e">
        <f>AND('Architecting on AWS_Syllabus'!B31,"AAAAAH/vfwo=")</f>
        <v>#VALUE!</v>
      </c>
      <c r="L2" t="e">
        <f>AND('Architecting on AWS_Syllabus'!C31,"AAAAAH/vfws=")</f>
        <v>#VALUE!</v>
      </c>
      <c r="M2" t="e">
        <f>AND('Architecting on AWS_Syllabus'!D31,"AAAAAH/vfww=")</f>
        <v>#VALUE!</v>
      </c>
      <c r="N2" t="e">
        <f>AND('Architecting on AWS_Syllabus'!E31,"AAAAAH/vfw0=")</f>
        <v>#VALUE!</v>
      </c>
      <c r="O2" t="e">
        <f>AND('Architecting on AWS_Syllabus'!F31,"AAAAAH/vfw4=")</f>
        <v>#VALUE!</v>
      </c>
      <c r="P2" t="e">
        <f>AND('Architecting on AWS_Syllabus'!G31,"AAAAAH/vfw8=")</f>
        <v>#VALUE!</v>
      </c>
      <c r="Q2" t="e">
        <f>IF('Architecting on AWS_Syllabus'!#REF!,"AAAAAH/vfxA=",0)</f>
        <v>#REF!</v>
      </c>
      <c r="R2">
        <f>IF('Architecting on AWS_Syllabus'!A:A,"AAAAAH/vfxE=",0)</f>
        <v>0</v>
      </c>
      <c r="S2">
        <f>IF('Architecting on AWS_Syllabus'!B:B,"AAAAAH/vfxI=",0)</f>
        <v>0</v>
      </c>
      <c r="T2">
        <f>IF('Architecting on AWS_Syllabus'!C:C,"AAAAAH/vfxM=",0)</f>
        <v>0</v>
      </c>
      <c r="U2">
        <f>IF('Architecting on AWS_Syllabus'!D:D,"AAAAAH/vfxQ=",0)</f>
        <v>0</v>
      </c>
      <c r="V2">
        <f>IF('Architecting on AWS_Syllabus'!E:E,"AAAAAH/vfxU=",0)</f>
        <v>0</v>
      </c>
      <c r="W2">
        <f>IF('Architecting on AWS_Syllabus'!F:F,"AAAAAH/vfxY=",0)</f>
        <v>0</v>
      </c>
      <c r="X2">
        <f>IF('Architecting on AWS_Syllabus'!G:G,"AAAAAH/vfxc=",0)</f>
        <v>0</v>
      </c>
      <c r="Y2">
        <f>IF('AWS SA_Schedule_Offline'!1:1,"AAAAAH/vfxg=",0)</f>
        <v>0</v>
      </c>
      <c r="Z2" t="e">
        <f>AND('AWS SA_Schedule_Offline'!#REF!,"AAAAAH/vfxk=")</f>
        <v>#REF!</v>
      </c>
      <c r="AA2" t="e">
        <f>AND('AWS SA_Schedule_Offline'!B1,"AAAAAH/vfxo=")</f>
        <v>#VALUE!</v>
      </c>
      <c r="AB2" t="e">
        <f>AND('AWS SA_Schedule_Offline'!#REF!,"AAAAAH/vfxs=")</f>
        <v>#REF!</v>
      </c>
      <c r="AC2" t="e">
        <f>AND('AWS SA_Schedule_Offline'!D1,"AAAAAH/vfxw=")</f>
        <v>#VALUE!</v>
      </c>
      <c r="AD2" t="e">
        <f>AND('AWS SA_Schedule_Offline'!E1,"AAAAAH/vfx0=")</f>
        <v>#VALUE!</v>
      </c>
      <c r="AE2" t="e">
        <f>AND('AWS SA_Schedule_Offline'!F1,"AAAAAH/vfx4=")</f>
        <v>#VALUE!</v>
      </c>
      <c r="AF2" t="e">
        <f>IF('AWS SA_Schedule_Offline'!#REF!,"AAAAAH/vfx8=",0)</f>
        <v>#REF!</v>
      </c>
      <c r="AG2" t="e">
        <f>AND('AWS SA_Schedule_Offline'!#REF!,"AAAAAH/vfyA=")</f>
        <v>#REF!</v>
      </c>
      <c r="AH2" t="e">
        <f>AND('AWS SA_Schedule_Offline'!#REF!,"AAAAAH/vfyE=")</f>
        <v>#REF!</v>
      </c>
      <c r="AI2" t="e">
        <f>AND('AWS SA_Schedule_Offline'!#REF!,"AAAAAH/vfyI=")</f>
        <v>#REF!</v>
      </c>
      <c r="AJ2" t="e">
        <f>AND('AWS SA_Schedule_Offline'!#REF!,"AAAAAH/vfyM=")</f>
        <v>#REF!</v>
      </c>
      <c r="AK2" t="e">
        <f>AND('AWS SA_Schedule_Offline'!#REF!,"AAAAAH/vfyQ=")</f>
        <v>#REF!</v>
      </c>
      <c r="AL2" t="e">
        <f>AND('AWS SA_Schedule_Offline'!#REF!,"AAAAAH/vfyU=")</f>
        <v>#REF!</v>
      </c>
      <c r="AM2">
        <f>IF('AWS SA_Schedule_Offline'!2:2,"AAAAAH/vfyY=",0)</f>
        <v>0</v>
      </c>
      <c r="AN2" t="e">
        <f>AND('AWS SA_Schedule_Offline'!#REF!,"AAAAAH/vfyc=")</f>
        <v>#REF!</v>
      </c>
      <c r="AO2" t="e">
        <f>AND('AWS SA_Schedule_Offline'!B2,"AAAAAH/vfyg=")</f>
        <v>#VALUE!</v>
      </c>
      <c r="AP2" t="e">
        <f>AND('AWS SA_Schedule_Offline'!#REF!,"AAAAAH/vfyk=")</f>
        <v>#REF!</v>
      </c>
      <c r="AQ2" t="e">
        <f>AND('AWS SA_Schedule_Offline'!D2,"AAAAAH/vfyo=")</f>
        <v>#VALUE!</v>
      </c>
      <c r="AR2" t="e">
        <f>AND('AWS SA_Schedule_Offline'!E2,"AAAAAH/vfys=")</f>
        <v>#VALUE!</v>
      </c>
      <c r="AS2" t="e">
        <f>AND('AWS SA_Schedule_Offline'!F2,"AAAAAH/vfyw=")</f>
        <v>#VALUE!</v>
      </c>
      <c r="AT2" t="e">
        <f>IF('AWS SA_Schedule_Offline'!#REF!,"AAAAAH/vfy0=",0)</f>
        <v>#REF!</v>
      </c>
      <c r="AU2" t="e">
        <f>AND('AWS SA_Schedule_Offline'!#REF!,"AAAAAH/vfy4=")</f>
        <v>#REF!</v>
      </c>
      <c r="AV2" t="e">
        <f>AND('AWS SA_Schedule_Offline'!#REF!,"AAAAAH/vfy8=")</f>
        <v>#REF!</v>
      </c>
      <c r="AW2" t="e">
        <f>AND('AWS SA_Schedule_Offline'!#REF!,"AAAAAH/vfzA=")</f>
        <v>#REF!</v>
      </c>
      <c r="AX2" t="e">
        <f>AND('AWS SA_Schedule_Offline'!#REF!,"AAAAAH/vfzE=")</f>
        <v>#REF!</v>
      </c>
      <c r="AY2" t="e">
        <f>AND('AWS SA_Schedule_Offline'!#REF!,"AAAAAH/vfzI=")</f>
        <v>#REF!</v>
      </c>
      <c r="AZ2" t="e">
        <f>AND('AWS SA_Schedule_Offline'!#REF!,"AAAAAH/vfzM=")</f>
        <v>#REF!</v>
      </c>
      <c r="BA2" t="e">
        <f>IF('AWS SA_Schedule_Offline'!#REF!,"AAAAAH/vfzQ=",0)</f>
        <v>#REF!</v>
      </c>
      <c r="BB2" t="e">
        <f>AND('AWS SA_Schedule_Offline'!#REF!,"AAAAAH/vfzU=")</f>
        <v>#REF!</v>
      </c>
      <c r="BC2" t="e">
        <f>AND('AWS SA_Schedule_Offline'!#REF!,"AAAAAH/vfzY=")</f>
        <v>#REF!</v>
      </c>
      <c r="BD2" t="e">
        <f>AND('AWS SA_Schedule_Offline'!#REF!,"AAAAAH/vfzc=")</f>
        <v>#REF!</v>
      </c>
      <c r="BE2" t="e">
        <f>AND('AWS SA_Schedule_Offline'!#REF!,"AAAAAH/vfzg=")</f>
        <v>#REF!</v>
      </c>
      <c r="BF2" t="e">
        <f>AND('AWS SA_Schedule_Offline'!#REF!,"AAAAAH/vfzk=")</f>
        <v>#REF!</v>
      </c>
      <c r="BG2" t="e">
        <f>AND('AWS SA_Schedule_Offline'!#REF!,"AAAAAH/vfzo=")</f>
        <v>#REF!</v>
      </c>
      <c r="BH2" t="e">
        <f>IF('AWS SA_Schedule_Offline'!#REF!,"AAAAAH/vfzs=",0)</f>
        <v>#REF!</v>
      </c>
      <c r="BI2" t="e">
        <f>AND('AWS SA_Schedule_Offline'!#REF!,"AAAAAH/vfzw=")</f>
        <v>#REF!</v>
      </c>
      <c r="BJ2" t="e">
        <f>AND('AWS SA_Schedule_Offline'!#REF!,"AAAAAH/vfz0=")</f>
        <v>#REF!</v>
      </c>
      <c r="BK2" t="e">
        <f>AND('AWS SA_Schedule_Offline'!#REF!,"AAAAAH/vfz4=")</f>
        <v>#REF!</v>
      </c>
      <c r="BL2" t="e">
        <f>AND('AWS SA_Schedule_Offline'!#REF!,"AAAAAH/vfz8=")</f>
        <v>#REF!</v>
      </c>
      <c r="BM2" t="e">
        <f>AND('AWS SA_Schedule_Offline'!#REF!,"AAAAAH/vf0A=")</f>
        <v>#REF!</v>
      </c>
      <c r="BN2" t="e">
        <f>AND('AWS SA_Schedule_Offline'!#REF!,"AAAAAH/vf0E=")</f>
        <v>#REF!</v>
      </c>
      <c r="BO2">
        <f>IF('AWS SA_Schedule_Offline'!4:4,"AAAAAH/vf0I=",0)</f>
        <v>0</v>
      </c>
      <c r="BP2" t="e">
        <f>AND('AWS SA_Schedule_Offline'!A4,"AAAAAH/vf0M=")</f>
        <v>#VALUE!</v>
      </c>
      <c r="BQ2" t="e">
        <f>AND('AWS SA_Schedule_Offline'!B4,"AAAAAH/vf0Q=")</f>
        <v>#VALUE!</v>
      </c>
      <c r="BR2" t="e">
        <f>AND('AWS SA_Schedule_Offline'!#REF!,"AAAAAH/vf0U=")</f>
        <v>#REF!</v>
      </c>
      <c r="BS2" t="e">
        <f>AND('AWS SA_Schedule_Offline'!D3,"AAAAAH/vf0Y=")</f>
        <v>#VALUE!</v>
      </c>
      <c r="BT2" t="e">
        <f>AND('AWS SA_Schedule_Offline'!E3,"AAAAAH/vf0c=")</f>
        <v>#VALUE!</v>
      </c>
      <c r="BU2" t="e">
        <f>AND('AWS SA_Schedule_Offline'!F3,"AAAAAH/vf0g=")</f>
        <v>#VALUE!</v>
      </c>
      <c r="BV2" t="e">
        <f>IF('AWS SA_Schedule_Offline'!#REF!,"AAAAAH/vf0k=",0)</f>
        <v>#REF!</v>
      </c>
      <c r="BW2" t="e">
        <f>AND('AWS SA_Schedule_Offline'!#REF!,"AAAAAH/vf0o=")</f>
        <v>#REF!</v>
      </c>
      <c r="BX2" t="e">
        <f>AND('AWS SA_Schedule_Offline'!#REF!,"AAAAAH/vf0s=")</f>
        <v>#REF!</v>
      </c>
      <c r="BY2" t="e">
        <f>AND('AWS SA_Schedule_Offline'!#REF!,"AAAAAH/vf0w=")</f>
        <v>#REF!</v>
      </c>
      <c r="BZ2" t="e">
        <f>AND('AWS SA_Schedule_Offline'!#REF!,"AAAAAH/vf00=")</f>
        <v>#REF!</v>
      </c>
      <c r="CA2" t="e">
        <f>AND('AWS SA_Schedule_Offline'!#REF!,"AAAAAH/vf04=")</f>
        <v>#REF!</v>
      </c>
      <c r="CB2" t="e">
        <f>AND('AWS SA_Schedule_Offline'!#REF!,"AAAAAH/vf08=")</f>
        <v>#REF!</v>
      </c>
      <c r="CC2" t="e">
        <f>IF('AWS SA_Schedule_Offline'!#REF!,"AAAAAH/vf1A=",0)</f>
        <v>#REF!</v>
      </c>
      <c r="CD2" t="e">
        <f>AND('AWS SA_Schedule_Offline'!#REF!,"AAAAAH/vf1E=")</f>
        <v>#REF!</v>
      </c>
      <c r="CE2" t="e">
        <f>AND('AWS SA_Schedule_Offline'!#REF!,"AAAAAH/vf1I=")</f>
        <v>#REF!</v>
      </c>
      <c r="CF2" t="e">
        <f>AND('AWS SA_Schedule_Offline'!#REF!,"AAAAAH/vf1M=")</f>
        <v>#REF!</v>
      </c>
      <c r="CG2" t="e">
        <f>AND('AWS SA_Schedule_Offline'!#REF!,"AAAAAH/vf1Q=")</f>
        <v>#REF!</v>
      </c>
      <c r="CH2" t="e">
        <f>AND('AWS SA_Schedule_Offline'!#REF!,"AAAAAH/vf1U=")</f>
        <v>#REF!</v>
      </c>
      <c r="CI2" t="e">
        <f>AND('AWS SA_Schedule_Offline'!#REF!,"AAAAAH/vf1Y=")</f>
        <v>#REF!</v>
      </c>
      <c r="CJ2" t="e">
        <f>IF('AWS SA_Schedule_Offline'!#REF!,"AAAAAH/vf1c=",0)</f>
        <v>#REF!</v>
      </c>
      <c r="CK2" t="e">
        <f>AND('AWS SA_Schedule_Offline'!#REF!,"AAAAAH/vf1g=")</f>
        <v>#REF!</v>
      </c>
      <c r="CL2" t="e">
        <f>AND('AWS SA_Schedule_Offline'!#REF!,"AAAAAH/vf1k=")</f>
        <v>#REF!</v>
      </c>
      <c r="CM2" t="e">
        <f>AND('AWS SA_Schedule_Offline'!#REF!,"AAAAAH/vf1o=")</f>
        <v>#REF!</v>
      </c>
      <c r="CN2" t="e">
        <f>AND('AWS SA_Schedule_Offline'!#REF!,"AAAAAH/vf1s=")</f>
        <v>#REF!</v>
      </c>
      <c r="CO2" t="e">
        <f>AND('AWS SA_Schedule_Offline'!#REF!,"AAAAAH/vf1w=")</f>
        <v>#REF!</v>
      </c>
      <c r="CP2" t="e">
        <f>AND('AWS SA_Schedule_Offline'!#REF!,"AAAAAH/vf10=")</f>
        <v>#REF!</v>
      </c>
      <c r="CQ2" t="e">
        <f>IF('AWS SA_Schedule_Offline'!#REF!,"AAAAAH/vf14=",0)</f>
        <v>#REF!</v>
      </c>
      <c r="CR2" t="e">
        <f>AND('AWS SA_Schedule_Offline'!#REF!,"AAAAAH/vf18=")</f>
        <v>#REF!</v>
      </c>
      <c r="CS2" t="e">
        <f>AND('AWS SA_Schedule_Offline'!#REF!,"AAAAAH/vf2A=")</f>
        <v>#REF!</v>
      </c>
      <c r="CT2" t="e">
        <f>AND('AWS SA_Schedule_Offline'!#REF!,"AAAAAH/vf2E=")</f>
        <v>#REF!</v>
      </c>
      <c r="CU2" t="e">
        <f>AND('AWS SA_Schedule_Offline'!#REF!,"AAAAAH/vf2I=")</f>
        <v>#REF!</v>
      </c>
      <c r="CV2" t="e">
        <f>AND('AWS SA_Schedule_Offline'!#REF!,"AAAAAH/vf2M=")</f>
        <v>#REF!</v>
      </c>
      <c r="CW2" t="e">
        <f>AND('AWS SA_Schedule_Offline'!#REF!,"AAAAAH/vf2Q=")</f>
        <v>#REF!</v>
      </c>
      <c r="CX2" t="e">
        <f>IF('AWS SA_Schedule_Offline'!#REF!,"AAAAAH/vf2U=",0)</f>
        <v>#REF!</v>
      </c>
      <c r="CY2" t="e">
        <f>AND('AWS SA_Schedule_Offline'!#REF!,"AAAAAH/vf2Y=")</f>
        <v>#REF!</v>
      </c>
      <c r="CZ2" t="e">
        <f>AND('AWS SA_Schedule_Offline'!#REF!,"AAAAAH/vf2c=")</f>
        <v>#REF!</v>
      </c>
      <c r="DA2" t="e">
        <f>AND('AWS SA_Schedule_Offline'!#REF!,"AAAAAH/vf2g=")</f>
        <v>#REF!</v>
      </c>
      <c r="DB2" t="e">
        <f>AND('AWS SA_Schedule_Offline'!#REF!,"AAAAAH/vf2k=")</f>
        <v>#REF!</v>
      </c>
      <c r="DC2" t="e">
        <f>AND('AWS SA_Schedule_Offline'!#REF!,"AAAAAH/vf2o=")</f>
        <v>#REF!</v>
      </c>
      <c r="DD2" t="e">
        <f>AND('AWS SA_Schedule_Offline'!#REF!,"AAAAAH/vf2s=")</f>
        <v>#REF!</v>
      </c>
      <c r="DE2" t="e">
        <f>IF('AWS SA_Schedule_Offline'!#REF!,"AAAAAH/vf2w=",0)</f>
        <v>#REF!</v>
      </c>
      <c r="DF2" t="e">
        <f>AND('AWS SA_Schedule_Offline'!#REF!,"AAAAAH/vf20=")</f>
        <v>#REF!</v>
      </c>
      <c r="DG2" t="e">
        <f>AND('AWS SA_Schedule_Offline'!#REF!,"AAAAAH/vf24=")</f>
        <v>#REF!</v>
      </c>
      <c r="DH2" t="e">
        <f>AND('AWS SA_Schedule_Offline'!#REF!,"AAAAAH/vf28=")</f>
        <v>#REF!</v>
      </c>
      <c r="DI2" t="e">
        <f>AND('AWS SA_Schedule_Offline'!#REF!,"AAAAAH/vf3A=")</f>
        <v>#REF!</v>
      </c>
      <c r="DJ2" t="e">
        <f>AND('AWS SA_Schedule_Offline'!#REF!,"AAAAAH/vf3E=")</f>
        <v>#REF!</v>
      </c>
      <c r="DK2" t="e">
        <f>AND('AWS SA_Schedule_Offline'!#REF!,"AAAAAH/vf3I=")</f>
        <v>#REF!</v>
      </c>
      <c r="DL2">
        <f>IF('AWS SA_Schedule_Offline'!5:5,"AAAAAH/vf3M=",0)</f>
        <v>0</v>
      </c>
      <c r="DM2" t="e">
        <f>AND('AWS SA_Schedule_Offline'!A5,"AAAAAH/vf3Q=")</f>
        <v>#VALUE!</v>
      </c>
      <c r="DN2" t="e">
        <f>AND('AWS SA_Schedule_Offline'!B5,"AAAAAH/vf3U=")</f>
        <v>#VALUE!</v>
      </c>
      <c r="DO2" t="e">
        <f>AND('AWS SA_Schedule_Offline'!#REF!,"AAAAAH/vf3Y=")</f>
        <v>#REF!</v>
      </c>
      <c r="DP2" t="e">
        <f>AND('AWS SA_Schedule_Offline'!D5,"AAAAAH/vf3c=")</f>
        <v>#VALUE!</v>
      </c>
      <c r="DQ2" t="e">
        <f>AND('AWS SA_Schedule_Offline'!E5,"AAAAAH/vf3g=")</f>
        <v>#VALUE!</v>
      </c>
      <c r="DR2" t="e">
        <f>AND('AWS SA_Schedule_Offline'!F5,"AAAAAH/vf3k=")</f>
        <v>#VALUE!</v>
      </c>
      <c r="DS2" t="e">
        <f>IF('AWS SA_Schedule_Offline'!#REF!,"AAAAAH/vf3o=",0)</f>
        <v>#REF!</v>
      </c>
      <c r="DT2" t="e">
        <f>AND('AWS SA_Schedule_Offline'!#REF!,"AAAAAH/vf3s=")</f>
        <v>#REF!</v>
      </c>
      <c r="DU2" t="e">
        <f>AND('AWS SA_Schedule_Offline'!#REF!,"AAAAAH/vf3w=")</f>
        <v>#REF!</v>
      </c>
      <c r="DV2" t="e">
        <f>AND('AWS SA_Schedule_Offline'!#REF!,"AAAAAH/vf30=")</f>
        <v>#REF!</v>
      </c>
      <c r="DW2" t="e">
        <f>AND('AWS SA_Schedule_Offline'!#REF!,"AAAAAH/vf34=")</f>
        <v>#REF!</v>
      </c>
      <c r="DX2" t="e">
        <f>AND('AWS SA_Schedule_Offline'!#REF!,"AAAAAH/vf38=")</f>
        <v>#REF!</v>
      </c>
      <c r="DY2" t="e">
        <f>AND('AWS SA_Schedule_Offline'!#REF!,"AAAAAH/vf4A=")</f>
        <v>#REF!</v>
      </c>
      <c r="DZ2" t="e">
        <f>IF('AWS SA_Schedule_Offline'!#REF!,"AAAAAH/vf4E=",0)</f>
        <v>#REF!</v>
      </c>
      <c r="EA2" t="e">
        <f>AND('AWS SA_Schedule_Offline'!#REF!,"AAAAAH/vf4I=")</f>
        <v>#REF!</v>
      </c>
      <c r="EB2" t="e">
        <f>AND('AWS SA_Schedule_Offline'!#REF!,"AAAAAH/vf4M=")</f>
        <v>#REF!</v>
      </c>
      <c r="EC2" t="e">
        <f>AND('AWS SA_Schedule_Offline'!#REF!,"AAAAAH/vf4Q=")</f>
        <v>#REF!</v>
      </c>
      <c r="ED2" t="e">
        <f>AND('AWS SA_Schedule_Offline'!#REF!,"AAAAAH/vf4U=")</f>
        <v>#REF!</v>
      </c>
      <c r="EE2" t="e">
        <f>AND('AWS SA_Schedule_Offline'!#REF!,"AAAAAH/vf4Y=")</f>
        <v>#REF!</v>
      </c>
      <c r="EF2" t="e">
        <f>AND('AWS SA_Schedule_Offline'!#REF!,"AAAAAH/vf4c=")</f>
        <v>#REF!</v>
      </c>
      <c r="EG2">
        <f>IF('AWS SA_Schedule_Offline'!40:40,"AAAAAH/vf4g=",0)</f>
        <v>0</v>
      </c>
      <c r="EH2" t="e">
        <f>AND('AWS SA_Schedule_Offline'!A40,"AAAAAH/vf4k=")</f>
        <v>#VALUE!</v>
      </c>
      <c r="EI2" t="e">
        <f>AND('AWS SA_Schedule_Offline'!B40,"AAAAAH/vf4o=")</f>
        <v>#VALUE!</v>
      </c>
      <c r="EJ2" t="e">
        <f>AND('AWS SA_Schedule_Offline'!#REF!,"AAAAAH/vf4s=")</f>
        <v>#REF!</v>
      </c>
      <c r="EK2" t="e">
        <f>AND('AWS SA_Schedule_Offline'!D40,"AAAAAH/vf4w=")</f>
        <v>#VALUE!</v>
      </c>
      <c r="EL2" t="e">
        <f>AND('AWS SA_Schedule_Offline'!E40,"AAAAAH/vf40=")</f>
        <v>#VALUE!</v>
      </c>
      <c r="EM2" t="e">
        <f>AND('AWS SA_Schedule_Offline'!F40,"AAAAAH/vf44=")</f>
        <v>#VALUE!</v>
      </c>
      <c r="EN2" t="e">
        <f>IF('AWS SA_Schedule_Offline'!#REF!,"AAAAAH/vf48=",0)</f>
        <v>#REF!</v>
      </c>
      <c r="EO2" t="e">
        <f>AND('AWS SA_Schedule_Offline'!#REF!,"AAAAAH/vf5A=")</f>
        <v>#REF!</v>
      </c>
      <c r="EP2" t="e">
        <f>AND('AWS SA_Schedule_Offline'!#REF!,"AAAAAH/vf5E=")</f>
        <v>#REF!</v>
      </c>
      <c r="EQ2" t="e">
        <f>AND('AWS SA_Schedule_Offline'!#REF!,"AAAAAH/vf5I=")</f>
        <v>#REF!</v>
      </c>
      <c r="ER2" t="e">
        <f>AND('AWS SA_Schedule_Offline'!#REF!,"AAAAAH/vf5M=")</f>
        <v>#REF!</v>
      </c>
      <c r="ES2" t="e">
        <f>AND('AWS SA_Schedule_Offline'!#REF!,"AAAAAH/vf5Q=")</f>
        <v>#REF!</v>
      </c>
      <c r="ET2" t="e">
        <f>AND('AWS SA_Schedule_Offline'!#REF!,"AAAAAH/vf5U=")</f>
        <v>#REF!</v>
      </c>
      <c r="EU2" t="e">
        <f>IF('AWS SA_Schedule_Offline'!#REF!,"AAAAAH/vf5Y=",0)</f>
        <v>#REF!</v>
      </c>
      <c r="EV2" t="e">
        <f>AND('AWS SA_Schedule_Offline'!#REF!,"AAAAAH/vf5c=")</f>
        <v>#REF!</v>
      </c>
      <c r="EW2" t="e">
        <f>AND('AWS SA_Schedule_Offline'!#REF!,"AAAAAH/vf5g=")</f>
        <v>#REF!</v>
      </c>
      <c r="EX2" t="e">
        <f>AND('AWS SA_Schedule_Offline'!#REF!,"AAAAAH/vf5k=")</f>
        <v>#REF!</v>
      </c>
      <c r="EY2" t="e">
        <f>AND('AWS SA_Schedule_Offline'!#REF!,"AAAAAH/vf5o=")</f>
        <v>#REF!</v>
      </c>
      <c r="EZ2" t="e">
        <f>AND('AWS SA_Schedule_Offline'!#REF!,"AAAAAH/vf5s=")</f>
        <v>#REF!</v>
      </c>
      <c r="FA2" t="e">
        <f>AND('AWS SA_Schedule_Offline'!#REF!,"AAAAAH/vf5w=")</f>
        <v>#REF!</v>
      </c>
      <c r="FB2" t="e">
        <f>IF('AWS SA_Schedule_Offline'!#REF!,"AAAAAH/vf50=",0)</f>
        <v>#REF!</v>
      </c>
      <c r="FC2" t="e">
        <f>AND('AWS SA_Schedule_Offline'!#REF!,"AAAAAH/vf54=")</f>
        <v>#REF!</v>
      </c>
      <c r="FD2" t="e">
        <f>AND('AWS SA_Schedule_Offline'!#REF!,"AAAAAH/vf58=")</f>
        <v>#REF!</v>
      </c>
      <c r="FE2" t="e">
        <f>AND('AWS SA_Schedule_Offline'!#REF!,"AAAAAH/vf6A=")</f>
        <v>#REF!</v>
      </c>
      <c r="FF2" t="e">
        <f>AND('AWS SA_Schedule_Offline'!#REF!,"AAAAAH/vf6E=")</f>
        <v>#REF!</v>
      </c>
      <c r="FG2" t="e">
        <f>AND('AWS SA_Schedule_Offline'!#REF!,"AAAAAH/vf6I=")</f>
        <v>#REF!</v>
      </c>
      <c r="FH2" t="e">
        <f>AND('AWS SA_Schedule_Offline'!#REF!,"AAAAAH/vf6M=")</f>
        <v>#REF!</v>
      </c>
      <c r="FI2" t="e">
        <f>IF('AWS SA_Schedule_Offline'!#REF!,"AAAAAH/vf6Q=",0)</f>
        <v>#REF!</v>
      </c>
      <c r="FJ2" t="e">
        <f>AND('AWS SA_Schedule_Offline'!#REF!,"AAAAAH/vf6U=")</f>
        <v>#REF!</v>
      </c>
      <c r="FK2" t="e">
        <f>AND('AWS SA_Schedule_Offline'!#REF!,"AAAAAH/vf6Y=")</f>
        <v>#REF!</v>
      </c>
      <c r="FL2" t="e">
        <f>AND('AWS SA_Schedule_Offline'!#REF!,"AAAAAH/vf6c=")</f>
        <v>#REF!</v>
      </c>
      <c r="FM2" t="e">
        <f>AND('AWS SA_Schedule_Offline'!#REF!,"AAAAAH/vf6g=")</f>
        <v>#REF!</v>
      </c>
      <c r="FN2" t="e">
        <f>AND('AWS SA_Schedule_Offline'!#REF!,"AAAAAH/vf6k=")</f>
        <v>#REF!</v>
      </c>
      <c r="FO2" t="e">
        <f>AND('AWS SA_Schedule_Offline'!#REF!,"AAAAAH/vf6o=")</f>
        <v>#REF!</v>
      </c>
      <c r="FP2" t="e">
        <f>IF('AWS SA_Schedule_Offline'!#REF!,"AAAAAH/vf6s=",0)</f>
        <v>#REF!</v>
      </c>
      <c r="FQ2" t="e">
        <f>AND('AWS SA_Schedule_Offline'!#REF!,"AAAAAH/vf6w=")</f>
        <v>#REF!</v>
      </c>
      <c r="FR2" t="e">
        <f>AND('AWS SA_Schedule_Offline'!#REF!,"AAAAAH/vf60=")</f>
        <v>#REF!</v>
      </c>
      <c r="FS2" t="e">
        <f>AND('AWS SA_Schedule_Offline'!#REF!,"AAAAAH/vf64=")</f>
        <v>#REF!</v>
      </c>
      <c r="FT2" t="e">
        <f>AND('AWS SA_Schedule_Offline'!#REF!,"AAAAAH/vf68=")</f>
        <v>#REF!</v>
      </c>
      <c r="FU2" t="e">
        <f>AND('AWS SA_Schedule_Offline'!#REF!,"AAAAAH/vf7A=")</f>
        <v>#REF!</v>
      </c>
      <c r="FV2" t="e">
        <f>AND('AWS SA_Schedule_Offline'!#REF!,"AAAAAH/vf7E=")</f>
        <v>#REF!</v>
      </c>
      <c r="FW2" t="e">
        <f>IF('AWS SA_Schedule_Offline'!#REF!,"AAAAAH/vf7I=",0)</f>
        <v>#REF!</v>
      </c>
      <c r="FX2" t="e">
        <f>AND('AWS SA_Schedule_Offline'!#REF!,"AAAAAH/vf7M=")</f>
        <v>#REF!</v>
      </c>
      <c r="FY2" t="e">
        <f>AND('AWS SA_Schedule_Offline'!#REF!,"AAAAAH/vf7Q=")</f>
        <v>#REF!</v>
      </c>
      <c r="FZ2" t="e">
        <f>AND('AWS SA_Schedule_Offline'!#REF!,"AAAAAH/vf7U=")</f>
        <v>#REF!</v>
      </c>
      <c r="GA2" t="e">
        <f>AND('AWS SA_Schedule_Offline'!#REF!,"AAAAAH/vf7Y=")</f>
        <v>#REF!</v>
      </c>
      <c r="GB2" t="e">
        <f>AND('AWS SA_Schedule_Offline'!#REF!,"AAAAAH/vf7c=")</f>
        <v>#REF!</v>
      </c>
      <c r="GC2" t="e">
        <f>AND('AWS SA_Schedule_Offline'!#REF!,"AAAAAH/vf7g=")</f>
        <v>#REF!</v>
      </c>
      <c r="GD2" t="e">
        <f>IF('AWS SA_Schedule_Offline'!#REF!,"AAAAAH/vf7k=",0)</f>
        <v>#REF!</v>
      </c>
      <c r="GE2" t="e">
        <f>AND('AWS SA_Schedule_Offline'!#REF!,"AAAAAH/vf7o=")</f>
        <v>#REF!</v>
      </c>
      <c r="GF2" t="e">
        <f>AND('AWS SA_Schedule_Offline'!#REF!,"AAAAAH/vf7s=")</f>
        <v>#REF!</v>
      </c>
      <c r="GG2" t="e">
        <f>AND('AWS SA_Schedule_Offline'!#REF!,"AAAAAH/vf7w=")</f>
        <v>#REF!</v>
      </c>
      <c r="GH2" t="e">
        <f>AND('AWS SA_Schedule_Offline'!#REF!,"AAAAAH/vf70=")</f>
        <v>#REF!</v>
      </c>
      <c r="GI2" t="e">
        <f>AND('AWS SA_Schedule_Offline'!#REF!,"AAAAAH/vf74=")</f>
        <v>#REF!</v>
      </c>
      <c r="GJ2" t="e">
        <f>AND('AWS SA_Schedule_Offline'!#REF!,"AAAAAH/vf78=")</f>
        <v>#REF!</v>
      </c>
      <c r="GK2" t="e">
        <f>IF('AWS SA_Schedule_Offline'!#REF!,"AAAAAH/vf8A=",0)</f>
        <v>#REF!</v>
      </c>
      <c r="GL2" t="e">
        <f>AND('AWS SA_Schedule_Offline'!#REF!,"AAAAAH/vf8E=")</f>
        <v>#REF!</v>
      </c>
      <c r="GM2" t="e">
        <f>AND('AWS SA_Schedule_Offline'!#REF!,"AAAAAH/vf8I=")</f>
        <v>#REF!</v>
      </c>
      <c r="GN2" t="e">
        <f>AND('AWS SA_Schedule_Offline'!#REF!,"AAAAAH/vf8M=")</f>
        <v>#REF!</v>
      </c>
      <c r="GO2" t="e">
        <f>AND('AWS SA_Schedule_Offline'!#REF!,"AAAAAH/vf8Q=")</f>
        <v>#REF!</v>
      </c>
      <c r="GP2" t="e">
        <f>AND('AWS SA_Schedule_Offline'!#REF!,"AAAAAH/vf8U=")</f>
        <v>#REF!</v>
      </c>
      <c r="GQ2" t="e">
        <f>AND('AWS SA_Schedule_Offline'!#REF!,"AAAAAH/vf8Y=")</f>
        <v>#REF!</v>
      </c>
      <c r="GR2" t="e">
        <f>IF('AWS SA_Schedule_Offline'!#REF!,"AAAAAH/vf8c=",0)</f>
        <v>#REF!</v>
      </c>
      <c r="GS2" t="e">
        <f>AND('AWS SA_Schedule_Offline'!#REF!,"AAAAAH/vf8g=")</f>
        <v>#REF!</v>
      </c>
      <c r="GT2" t="e">
        <f>AND('AWS SA_Schedule_Offline'!#REF!,"AAAAAH/vf8k=")</f>
        <v>#REF!</v>
      </c>
      <c r="GU2" t="e">
        <f>AND('AWS SA_Schedule_Offline'!#REF!,"AAAAAH/vf8o=")</f>
        <v>#REF!</v>
      </c>
      <c r="GV2" t="e">
        <f>AND('AWS SA_Schedule_Offline'!#REF!,"AAAAAH/vf8s=")</f>
        <v>#REF!</v>
      </c>
      <c r="GW2" t="e">
        <f>AND('AWS SA_Schedule_Offline'!#REF!,"AAAAAH/vf8w=")</f>
        <v>#REF!</v>
      </c>
      <c r="GX2" t="e">
        <f>AND('AWS SA_Schedule_Offline'!#REF!,"AAAAAH/vf80=")</f>
        <v>#REF!</v>
      </c>
      <c r="GY2" t="e">
        <f>IF('AWS SA_Schedule_Offline'!#REF!,"AAAAAH/vf84=",0)</f>
        <v>#REF!</v>
      </c>
      <c r="GZ2" t="e">
        <f>AND('AWS SA_Schedule_Offline'!#REF!,"AAAAAH/vf88=")</f>
        <v>#REF!</v>
      </c>
      <c r="HA2" t="e">
        <f>AND('AWS SA_Schedule_Offline'!#REF!,"AAAAAH/vf9A=")</f>
        <v>#REF!</v>
      </c>
      <c r="HB2" t="e">
        <f>AND('AWS SA_Schedule_Offline'!#REF!,"AAAAAH/vf9E=")</f>
        <v>#REF!</v>
      </c>
      <c r="HC2" t="e">
        <f>AND('AWS SA_Schedule_Offline'!#REF!,"AAAAAH/vf9I=")</f>
        <v>#REF!</v>
      </c>
      <c r="HD2" t="e">
        <f>AND('AWS SA_Schedule_Offline'!#REF!,"AAAAAH/vf9M=")</f>
        <v>#REF!</v>
      </c>
      <c r="HE2" t="e">
        <f>AND('AWS SA_Schedule_Offline'!#REF!,"AAAAAH/vf9Q=")</f>
        <v>#REF!</v>
      </c>
      <c r="HF2" t="e">
        <f>IF('AWS SA_Schedule_Offline'!#REF!,"AAAAAH/vf9U=",0)</f>
        <v>#REF!</v>
      </c>
      <c r="HG2" t="e">
        <f>AND('AWS SA_Schedule_Offline'!#REF!,"AAAAAH/vf9Y=")</f>
        <v>#REF!</v>
      </c>
      <c r="HH2" t="e">
        <f>AND('AWS SA_Schedule_Offline'!#REF!,"AAAAAH/vf9c=")</f>
        <v>#REF!</v>
      </c>
      <c r="HI2" t="e">
        <f>AND('AWS SA_Schedule_Offline'!#REF!,"AAAAAH/vf9g=")</f>
        <v>#REF!</v>
      </c>
      <c r="HJ2" t="e">
        <f>AND('AWS SA_Schedule_Offline'!#REF!,"AAAAAH/vf9k=")</f>
        <v>#REF!</v>
      </c>
      <c r="HK2" t="e">
        <f>AND('AWS SA_Schedule_Offline'!#REF!,"AAAAAH/vf9o=")</f>
        <v>#REF!</v>
      </c>
      <c r="HL2" t="e">
        <f>AND('AWS SA_Schedule_Offline'!#REF!,"AAAAAH/vf9s=")</f>
        <v>#REF!</v>
      </c>
      <c r="HM2" t="e">
        <f>IF('AWS SA_Schedule_Offline'!#REF!,"AAAAAH/vf9w=",0)</f>
        <v>#REF!</v>
      </c>
      <c r="HN2" t="e">
        <f>AND('AWS SA_Schedule_Offline'!#REF!,"AAAAAH/vf90=")</f>
        <v>#REF!</v>
      </c>
      <c r="HO2" t="e">
        <f>AND('AWS SA_Schedule_Offline'!#REF!,"AAAAAH/vf94=")</f>
        <v>#REF!</v>
      </c>
      <c r="HP2" t="e">
        <f>AND('AWS SA_Schedule_Offline'!#REF!,"AAAAAH/vf98=")</f>
        <v>#REF!</v>
      </c>
      <c r="HQ2" t="e">
        <f>AND('AWS SA_Schedule_Offline'!#REF!,"AAAAAH/vf+A=")</f>
        <v>#REF!</v>
      </c>
      <c r="HR2" t="e">
        <f>AND('AWS SA_Schedule_Offline'!#REF!,"AAAAAH/vf+E=")</f>
        <v>#REF!</v>
      </c>
      <c r="HS2" t="e">
        <f>AND('AWS SA_Schedule_Offline'!#REF!,"AAAAAH/vf+I=")</f>
        <v>#REF!</v>
      </c>
      <c r="HT2" t="e">
        <f>IF('AWS SA_Schedule_Offline'!#REF!,"AAAAAH/vf+M=",0)</f>
        <v>#REF!</v>
      </c>
      <c r="HU2" t="e">
        <f>AND('AWS SA_Schedule_Offline'!#REF!,"AAAAAH/vf+Q=")</f>
        <v>#REF!</v>
      </c>
      <c r="HV2" t="e">
        <f>AND('AWS SA_Schedule_Offline'!#REF!,"AAAAAH/vf+U=")</f>
        <v>#REF!</v>
      </c>
      <c r="HW2" t="e">
        <f>AND('AWS SA_Schedule_Offline'!#REF!,"AAAAAH/vf+Y=")</f>
        <v>#REF!</v>
      </c>
      <c r="HX2" t="e">
        <f>AND('AWS SA_Schedule_Offline'!#REF!,"AAAAAH/vf+c=")</f>
        <v>#REF!</v>
      </c>
      <c r="HY2" t="e">
        <f>AND('AWS SA_Schedule_Offline'!#REF!,"AAAAAH/vf+g=")</f>
        <v>#REF!</v>
      </c>
      <c r="HZ2" t="e">
        <f>AND('AWS SA_Schedule_Offline'!#REF!,"AAAAAH/vf+k=")</f>
        <v>#REF!</v>
      </c>
      <c r="IA2" t="e">
        <f>IF('AWS SA_Schedule_Offline'!#REF!,"AAAAAH/vf+o=",0)</f>
        <v>#REF!</v>
      </c>
      <c r="IB2" t="e">
        <f>AND('AWS SA_Schedule_Offline'!#REF!,"AAAAAH/vf+s=")</f>
        <v>#REF!</v>
      </c>
      <c r="IC2" t="e">
        <f>AND('AWS SA_Schedule_Offline'!#REF!,"AAAAAH/vf+w=")</f>
        <v>#REF!</v>
      </c>
      <c r="ID2" t="e">
        <f>AND('AWS SA_Schedule_Offline'!#REF!,"AAAAAH/vf+0=")</f>
        <v>#REF!</v>
      </c>
      <c r="IE2" t="e">
        <f>AND('AWS SA_Schedule_Offline'!#REF!,"AAAAAH/vf+4=")</f>
        <v>#REF!</v>
      </c>
      <c r="IF2" t="e">
        <f>AND('AWS SA_Schedule_Offline'!#REF!,"AAAAAH/vf+8=")</f>
        <v>#REF!</v>
      </c>
      <c r="IG2" t="e">
        <f>AND('AWS SA_Schedule_Offline'!#REF!,"AAAAAH/vf/A=")</f>
        <v>#REF!</v>
      </c>
      <c r="IH2" t="e">
        <f>IF('AWS SA_Schedule_Offline'!#REF!,"AAAAAH/vf/E=",0)</f>
        <v>#REF!</v>
      </c>
      <c r="II2" t="e">
        <f>AND('AWS SA_Schedule_Offline'!#REF!,"AAAAAH/vf/I=")</f>
        <v>#REF!</v>
      </c>
      <c r="IJ2" t="e">
        <f>AND('AWS SA_Schedule_Offline'!#REF!,"AAAAAH/vf/M=")</f>
        <v>#REF!</v>
      </c>
      <c r="IK2" t="e">
        <f>AND('AWS SA_Schedule_Offline'!#REF!,"AAAAAH/vf/Q=")</f>
        <v>#REF!</v>
      </c>
      <c r="IL2" t="e">
        <f>AND('AWS SA_Schedule_Offline'!#REF!,"AAAAAH/vf/U=")</f>
        <v>#REF!</v>
      </c>
      <c r="IM2" t="e">
        <f>AND('AWS SA_Schedule_Offline'!#REF!,"AAAAAH/vf/Y=")</f>
        <v>#REF!</v>
      </c>
      <c r="IN2" t="e">
        <f>AND('AWS SA_Schedule_Offline'!#REF!,"AAAAAH/vf/c=")</f>
        <v>#REF!</v>
      </c>
      <c r="IO2" t="e">
        <f>IF('AWS SA_Schedule_Offline'!#REF!,"AAAAAH/vf/g=",0)</f>
        <v>#REF!</v>
      </c>
      <c r="IP2" t="e">
        <f>AND('AWS SA_Schedule_Offline'!#REF!,"AAAAAH/vf/k=")</f>
        <v>#REF!</v>
      </c>
      <c r="IQ2" t="e">
        <f>AND('AWS SA_Schedule_Offline'!#REF!,"AAAAAH/vf/o=")</f>
        <v>#REF!</v>
      </c>
      <c r="IR2" t="e">
        <f>AND('AWS SA_Schedule_Offline'!#REF!,"AAAAAH/vf/s=")</f>
        <v>#REF!</v>
      </c>
      <c r="IS2" t="e">
        <f>AND('AWS SA_Schedule_Offline'!#REF!,"AAAAAH/vf/w=")</f>
        <v>#REF!</v>
      </c>
      <c r="IT2" t="e">
        <f>AND('AWS SA_Schedule_Offline'!#REF!,"AAAAAH/vf/0=")</f>
        <v>#REF!</v>
      </c>
      <c r="IU2" t="e">
        <f>AND('AWS SA_Schedule_Offline'!#REF!,"AAAAAH/vf/4=")</f>
        <v>#REF!</v>
      </c>
      <c r="IV2" t="e">
        <f>IF('AWS SA_Schedule_Offline'!#REF!,"AAAAAH/vf/8=",0)</f>
        <v>#REF!</v>
      </c>
    </row>
    <row r="3" spans="1:256">
      <c r="A3" t="e">
        <f>AND('AWS SA_Schedule_Offline'!#REF!,"AAAAABPz/wA=")</f>
        <v>#REF!</v>
      </c>
      <c r="B3" t="e">
        <f>AND('AWS SA_Schedule_Offline'!#REF!,"AAAAABPz/wE=")</f>
        <v>#REF!</v>
      </c>
      <c r="C3" t="e">
        <f>AND('AWS SA_Schedule_Offline'!#REF!,"AAAAABPz/wI=")</f>
        <v>#REF!</v>
      </c>
      <c r="D3" t="e">
        <f>AND('AWS SA_Schedule_Offline'!#REF!,"AAAAABPz/wM=")</f>
        <v>#REF!</v>
      </c>
      <c r="E3" t="e">
        <f>AND('AWS SA_Schedule_Offline'!#REF!,"AAAAABPz/wQ=")</f>
        <v>#REF!</v>
      </c>
      <c r="F3" t="e">
        <f>AND('AWS SA_Schedule_Offline'!#REF!,"AAAAABPz/wU=")</f>
        <v>#REF!</v>
      </c>
      <c r="G3" t="e">
        <f>IF('AWS SA_Schedule_Offline'!#REF!,"AAAAABPz/wY=",0)</f>
        <v>#REF!</v>
      </c>
      <c r="H3" t="e">
        <f>AND('AWS SA_Schedule_Offline'!#REF!,"AAAAABPz/wc=")</f>
        <v>#REF!</v>
      </c>
      <c r="I3" t="e">
        <f>AND('AWS SA_Schedule_Offline'!#REF!,"AAAAABPz/wg=")</f>
        <v>#REF!</v>
      </c>
      <c r="J3" t="e">
        <f>AND('AWS SA_Schedule_Offline'!#REF!,"AAAAABPz/wk=")</f>
        <v>#REF!</v>
      </c>
      <c r="K3" t="e">
        <f>AND('AWS SA_Schedule_Offline'!#REF!,"AAAAABPz/wo=")</f>
        <v>#REF!</v>
      </c>
      <c r="L3" t="e">
        <f>AND('AWS SA_Schedule_Offline'!#REF!,"AAAAABPz/ws=")</f>
        <v>#REF!</v>
      </c>
      <c r="M3" t="e">
        <f>AND('AWS SA_Schedule_Offline'!#REF!,"AAAAABPz/ww=")</f>
        <v>#REF!</v>
      </c>
      <c r="N3" t="e">
        <f>IF('AWS SA_Schedule_Offline'!#REF!,"AAAAABPz/w0=",0)</f>
        <v>#REF!</v>
      </c>
      <c r="O3" t="e">
        <f>AND('AWS SA_Schedule_Offline'!#REF!,"AAAAABPz/w4=")</f>
        <v>#REF!</v>
      </c>
      <c r="P3" t="e">
        <f>AND('AWS SA_Schedule_Offline'!#REF!,"AAAAABPz/w8=")</f>
        <v>#REF!</v>
      </c>
      <c r="Q3" t="e">
        <f>AND('AWS SA_Schedule_Offline'!#REF!,"AAAAABPz/xA=")</f>
        <v>#REF!</v>
      </c>
      <c r="R3" t="e">
        <f>AND('AWS SA_Schedule_Offline'!#REF!,"AAAAABPz/xE=")</f>
        <v>#REF!</v>
      </c>
      <c r="S3" t="e">
        <f>AND('AWS SA_Schedule_Offline'!#REF!,"AAAAABPz/xI=")</f>
        <v>#REF!</v>
      </c>
      <c r="T3" t="e">
        <f>AND('AWS SA_Schedule_Offline'!#REF!,"AAAAABPz/xM=")</f>
        <v>#REF!</v>
      </c>
      <c r="U3" t="e">
        <f>IF('AWS SA_Schedule_Offline'!#REF!,"AAAAABPz/xQ=",0)</f>
        <v>#REF!</v>
      </c>
      <c r="V3" t="e">
        <f>AND('AWS SA_Schedule_Offline'!#REF!,"AAAAABPz/xU=")</f>
        <v>#REF!</v>
      </c>
      <c r="W3" t="e">
        <f>AND('AWS SA_Schedule_Offline'!#REF!,"AAAAABPz/xY=")</f>
        <v>#REF!</v>
      </c>
      <c r="X3" t="e">
        <f>AND('AWS SA_Schedule_Offline'!#REF!,"AAAAABPz/xc=")</f>
        <v>#REF!</v>
      </c>
      <c r="Y3" t="e">
        <f>AND('AWS SA_Schedule_Offline'!#REF!,"AAAAABPz/xg=")</f>
        <v>#REF!</v>
      </c>
      <c r="Z3" t="e">
        <f>AND('AWS SA_Schedule_Offline'!#REF!,"AAAAABPz/xk=")</f>
        <v>#REF!</v>
      </c>
      <c r="AA3" t="e">
        <f>AND('AWS SA_Schedule_Offline'!#REF!,"AAAAABPz/xo=")</f>
        <v>#REF!</v>
      </c>
      <c r="AB3" t="e">
        <f>IF('AWS SA_Schedule_Offline'!#REF!,"AAAAABPz/xs=",0)</f>
        <v>#REF!</v>
      </c>
      <c r="AC3" t="e">
        <f>AND('AWS SA_Schedule_Offline'!#REF!,"AAAAABPz/xw=")</f>
        <v>#REF!</v>
      </c>
      <c r="AD3" t="e">
        <f>AND('AWS SA_Schedule_Offline'!#REF!,"AAAAABPz/x0=")</f>
        <v>#REF!</v>
      </c>
      <c r="AE3" t="e">
        <f>AND('AWS SA_Schedule_Offline'!#REF!,"AAAAABPz/x4=")</f>
        <v>#REF!</v>
      </c>
      <c r="AF3" t="e">
        <f>AND('AWS SA_Schedule_Offline'!#REF!,"AAAAABPz/x8=")</f>
        <v>#REF!</v>
      </c>
      <c r="AG3" t="e">
        <f>AND('AWS SA_Schedule_Offline'!#REF!,"AAAAABPz/yA=")</f>
        <v>#REF!</v>
      </c>
      <c r="AH3" t="e">
        <f>AND('AWS SA_Schedule_Offline'!#REF!,"AAAAABPz/yE=")</f>
        <v>#REF!</v>
      </c>
      <c r="AI3" t="e">
        <f>IF('AWS SA_Schedule_Offline'!#REF!,"AAAAABPz/yI=",0)</f>
        <v>#REF!</v>
      </c>
      <c r="AJ3" t="e">
        <f>AND('AWS SA_Schedule_Offline'!#REF!,"AAAAABPz/yM=")</f>
        <v>#REF!</v>
      </c>
      <c r="AK3" t="e">
        <f>AND('AWS SA_Schedule_Offline'!#REF!,"AAAAABPz/yQ=")</f>
        <v>#REF!</v>
      </c>
      <c r="AL3" t="e">
        <f>AND('AWS SA_Schedule_Offline'!#REF!,"AAAAABPz/yU=")</f>
        <v>#REF!</v>
      </c>
      <c r="AM3" t="e">
        <f>AND('AWS SA_Schedule_Offline'!#REF!,"AAAAABPz/yY=")</f>
        <v>#REF!</v>
      </c>
      <c r="AN3" t="e">
        <f>AND('AWS SA_Schedule_Offline'!#REF!,"AAAAABPz/yc=")</f>
        <v>#REF!</v>
      </c>
      <c r="AO3" t="e">
        <f>AND('AWS SA_Schedule_Offline'!#REF!,"AAAAABPz/yg=")</f>
        <v>#REF!</v>
      </c>
      <c r="AP3" t="e">
        <f>IF('AWS SA_Schedule_Offline'!#REF!,"AAAAABPz/yk=",0)</f>
        <v>#REF!</v>
      </c>
      <c r="AQ3" t="e">
        <f>AND('AWS SA_Schedule_Offline'!#REF!,"AAAAABPz/yo=")</f>
        <v>#REF!</v>
      </c>
      <c r="AR3" t="e">
        <f>AND('AWS SA_Schedule_Offline'!#REF!,"AAAAABPz/ys=")</f>
        <v>#REF!</v>
      </c>
      <c r="AS3" t="e">
        <f>AND('AWS SA_Schedule_Offline'!#REF!,"AAAAABPz/yw=")</f>
        <v>#REF!</v>
      </c>
      <c r="AT3" t="e">
        <f>AND('AWS SA_Schedule_Offline'!#REF!,"AAAAABPz/y0=")</f>
        <v>#REF!</v>
      </c>
      <c r="AU3" t="e">
        <f>AND('AWS SA_Schedule_Offline'!#REF!,"AAAAABPz/y4=")</f>
        <v>#REF!</v>
      </c>
      <c r="AV3" t="e">
        <f>AND('AWS SA_Schedule_Offline'!#REF!,"AAAAABPz/y8=")</f>
        <v>#REF!</v>
      </c>
      <c r="AW3" t="e">
        <f>IF('AWS SA_Schedule_Offline'!#REF!,"AAAAABPz/zA=",0)</f>
        <v>#REF!</v>
      </c>
      <c r="AX3" t="e">
        <f>AND('AWS SA_Schedule_Offline'!#REF!,"AAAAABPz/zE=")</f>
        <v>#REF!</v>
      </c>
      <c r="AY3" t="e">
        <f>AND('AWS SA_Schedule_Offline'!#REF!,"AAAAABPz/zI=")</f>
        <v>#REF!</v>
      </c>
      <c r="AZ3" t="e">
        <f>AND('AWS SA_Schedule_Offline'!#REF!,"AAAAABPz/zM=")</f>
        <v>#REF!</v>
      </c>
      <c r="BA3" t="e">
        <f>AND('AWS SA_Schedule_Offline'!#REF!,"AAAAABPz/zQ=")</f>
        <v>#REF!</v>
      </c>
      <c r="BB3" t="e">
        <f>AND('AWS SA_Schedule_Offline'!#REF!,"AAAAABPz/zU=")</f>
        <v>#REF!</v>
      </c>
      <c r="BC3" t="e">
        <f>AND('AWS SA_Schedule_Offline'!#REF!,"AAAAABPz/zY=")</f>
        <v>#REF!</v>
      </c>
      <c r="BD3" t="e">
        <f>IF('AWS SA_Schedule_Offline'!#REF!,"AAAAABPz/zc=",0)</f>
        <v>#REF!</v>
      </c>
      <c r="BE3" t="e">
        <f>AND('AWS SA_Schedule_Offline'!#REF!,"AAAAABPz/zg=")</f>
        <v>#REF!</v>
      </c>
      <c r="BF3" t="e">
        <f>AND('AWS SA_Schedule_Offline'!#REF!,"AAAAABPz/zk=")</f>
        <v>#REF!</v>
      </c>
      <c r="BG3" t="e">
        <f>AND('AWS SA_Schedule_Offline'!#REF!,"AAAAABPz/zo=")</f>
        <v>#REF!</v>
      </c>
      <c r="BH3" t="e">
        <f>AND('AWS SA_Schedule_Offline'!#REF!,"AAAAABPz/zs=")</f>
        <v>#REF!</v>
      </c>
      <c r="BI3" t="e">
        <f>AND('AWS SA_Schedule_Offline'!#REF!,"AAAAABPz/zw=")</f>
        <v>#REF!</v>
      </c>
      <c r="BJ3" t="e">
        <f>AND('AWS SA_Schedule_Offline'!#REF!,"AAAAABPz/z0=")</f>
        <v>#REF!</v>
      </c>
      <c r="BK3" t="e">
        <f>IF('AWS SA_Schedule_Offline'!#REF!,"AAAAABPz/z4=",0)</f>
        <v>#REF!</v>
      </c>
      <c r="BL3" t="e">
        <f>AND('AWS SA_Schedule_Offline'!#REF!,"AAAAABPz/z8=")</f>
        <v>#REF!</v>
      </c>
      <c r="BM3" t="e">
        <f>AND('AWS SA_Schedule_Offline'!#REF!,"AAAAABPz/0A=")</f>
        <v>#REF!</v>
      </c>
      <c r="BN3" t="e">
        <f>AND('AWS SA_Schedule_Offline'!#REF!,"AAAAABPz/0E=")</f>
        <v>#REF!</v>
      </c>
      <c r="BO3" t="e">
        <f>AND('AWS SA_Schedule_Offline'!#REF!,"AAAAABPz/0I=")</f>
        <v>#REF!</v>
      </c>
      <c r="BP3" t="e">
        <f>AND('AWS SA_Schedule_Offline'!#REF!,"AAAAABPz/0M=")</f>
        <v>#REF!</v>
      </c>
      <c r="BQ3" t="e">
        <f>AND('AWS SA_Schedule_Offline'!#REF!,"AAAAABPz/0Q=")</f>
        <v>#REF!</v>
      </c>
      <c r="BR3">
        <f>IF('AWS SA_Schedule_Offline'!41:41,"AAAAABPz/0U=",0)</f>
        <v>0</v>
      </c>
      <c r="BS3" t="e">
        <f>AND('AWS SA_Schedule_Offline'!#REF!,"AAAAABPz/0Y=")</f>
        <v>#REF!</v>
      </c>
      <c r="BT3" t="e">
        <f>AND('AWS SA_Schedule_Offline'!B41,"AAAAABPz/0c=")</f>
        <v>#VALUE!</v>
      </c>
      <c r="BU3" t="e">
        <f>AND('AWS SA_Schedule_Offline'!#REF!,"AAAAABPz/0g=")</f>
        <v>#REF!</v>
      </c>
      <c r="BV3" t="e">
        <f>AND('AWS SA_Schedule_Offline'!D41,"AAAAABPz/0k=")</f>
        <v>#VALUE!</v>
      </c>
      <c r="BW3" t="e">
        <f>AND('AWS SA_Schedule_Offline'!E41,"AAAAABPz/0o=")</f>
        <v>#VALUE!</v>
      </c>
      <c r="BX3" t="e">
        <f>AND('AWS SA_Schedule_Offline'!F41,"AAAAABPz/0s=")</f>
        <v>#VALUE!</v>
      </c>
      <c r="BY3" t="e">
        <f>IF('AWS SA_Schedule_Offline'!#REF!,"AAAAABPz/0w=",0)</f>
        <v>#REF!</v>
      </c>
      <c r="BZ3" t="e">
        <f>AND('AWS SA_Schedule_Offline'!#REF!,"AAAAABPz/00=")</f>
        <v>#REF!</v>
      </c>
      <c r="CA3" t="e">
        <f>AND('AWS SA_Schedule_Offline'!#REF!,"AAAAABPz/04=")</f>
        <v>#REF!</v>
      </c>
      <c r="CB3" t="e">
        <f>AND('AWS SA_Schedule_Offline'!#REF!,"AAAAABPz/08=")</f>
        <v>#REF!</v>
      </c>
      <c r="CC3" t="e">
        <f>AND('AWS SA_Schedule_Offline'!#REF!,"AAAAABPz/1A=")</f>
        <v>#REF!</v>
      </c>
      <c r="CD3" t="e">
        <f>AND('AWS SA_Schedule_Offline'!#REF!,"AAAAABPz/1E=")</f>
        <v>#REF!</v>
      </c>
      <c r="CE3" t="e">
        <f>AND('AWS SA_Schedule_Offline'!#REF!,"AAAAABPz/1I=")</f>
        <v>#REF!</v>
      </c>
      <c r="CF3">
        <f>IF('AWS SA_Schedule_Offline'!42:42,"AAAAABPz/1M=",0)</f>
        <v>0</v>
      </c>
      <c r="CG3" t="e">
        <f>AND('AWS SA_Schedule_Offline'!#REF!,"AAAAABPz/1Q=")</f>
        <v>#REF!</v>
      </c>
      <c r="CH3" t="e">
        <f>AND('AWS SA_Schedule_Offline'!B42,"AAAAABPz/1U=")</f>
        <v>#VALUE!</v>
      </c>
      <c r="CI3" t="e">
        <f>AND('AWS SA_Schedule_Offline'!#REF!,"AAAAABPz/1Y=")</f>
        <v>#REF!</v>
      </c>
      <c r="CJ3" t="e">
        <f>AND('AWS SA_Schedule_Offline'!D42,"AAAAABPz/1c=")</f>
        <v>#VALUE!</v>
      </c>
      <c r="CK3" t="e">
        <f>AND('AWS SA_Schedule_Offline'!E42,"AAAAABPz/1g=")</f>
        <v>#VALUE!</v>
      </c>
      <c r="CL3" t="e">
        <f>AND('AWS SA_Schedule_Offline'!F42,"AAAAABPz/1k=")</f>
        <v>#VALUE!</v>
      </c>
      <c r="CM3">
        <f>IF('AWS SA_Schedule_Offline'!43:43,"AAAAABPz/1o=",0)</f>
        <v>0</v>
      </c>
      <c r="CN3" t="e">
        <f>AND('AWS SA_Schedule_Offline'!#REF!,"AAAAABPz/1s=")</f>
        <v>#REF!</v>
      </c>
      <c r="CO3" t="e">
        <f>AND('AWS SA_Schedule_Offline'!B43,"AAAAABPz/1w=")</f>
        <v>#VALUE!</v>
      </c>
      <c r="CP3" t="e">
        <f>AND('AWS SA_Schedule_Offline'!#REF!,"AAAAABPz/10=")</f>
        <v>#REF!</v>
      </c>
      <c r="CQ3" t="e">
        <f>AND('AWS SA_Schedule_Offline'!D43,"AAAAABPz/14=")</f>
        <v>#VALUE!</v>
      </c>
      <c r="CR3" t="e">
        <f>AND('AWS SA_Schedule_Offline'!E43,"AAAAABPz/18=")</f>
        <v>#VALUE!</v>
      </c>
      <c r="CS3" t="e">
        <f>AND('AWS SA_Schedule_Offline'!F43,"AAAAABPz/2A=")</f>
        <v>#VALUE!</v>
      </c>
      <c r="CT3">
        <f>IF('AWS SA_Schedule_Offline'!44:44,"AAAAABPz/2E=",0)</f>
        <v>0</v>
      </c>
      <c r="CU3" t="e">
        <f>AND('AWS SA_Schedule_Offline'!#REF!,"AAAAABPz/2I=")</f>
        <v>#REF!</v>
      </c>
      <c r="CV3" t="e">
        <f>AND('AWS SA_Schedule_Offline'!B44,"AAAAABPz/2M=")</f>
        <v>#VALUE!</v>
      </c>
      <c r="CW3" t="e">
        <f>AND('AWS SA_Schedule_Offline'!#REF!,"AAAAABPz/2Q=")</f>
        <v>#REF!</v>
      </c>
      <c r="CX3" t="e">
        <f>AND('AWS SA_Schedule_Offline'!D44,"AAAAABPz/2U=")</f>
        <v>#VALUE!</v>
      </c>
      <c r="CY3" t="e">
        <f>AND('AWS SA_Schedule_Offline'!E44,"AAAAABPz/2Y=")</f>
        <v>#VALUE!</v>
      </c>
      <c r="CZ3" t="e">
        <f>AND('AWS SA_Schedule_Offline'!F44,"AAAAABPz/2c=")</f>
        <v>#VALUE!</v>
      </c>
      <c r="DA3">
        <f>IF('AWS SA_Schedule_Offline'!45:45,"AAAAABPz/2g=",0)</f>
        <v>0</v>
      </c>
      <c r="DB3" t="e">
        <f>AND('AWS SA_Schedule_Offline'!#REF!,"AAAAABPz/2k=")</f>
        <v>#REF!</v>
      </c>
      <c r="DC3" t="e">
        <f>AND('AWS SA_Schedule_Offline'!B45,"AAAAABPz/2o=")</f>
        <v>#VALUE!</v>
      </c>
      <c r="DD3" t="e">
        <f>AND('AWS SA_Schedule_Offline'!#REF!,"AAAAABPz/2s=")</f>
        <v>#REF!</v>
      </c>
      <c r="DE3" t="e">
        <f>AND('AWS SA_Schedule_Offline'!D45,"AAAAABPz/2w=")</f>
        <v>#VALUE!</v>
      </c>
      <c r="DF3" t="e">
        <f>AND('AWS SA_Schedule_Offline'!E45,"AAAAABPz/20=")</f>
        <v>#VALUE!</v>
      </c>
      <c r="DG3" t="e">
        <f>AND('AWS SA_Schedule_Offline'!F45,"AAAAABPz/24=")</f>
        <v>#VALUE!</v>
      </c>
      <c r="DH3">
        <f>IF('AWS SA_Schedule_Offline'!46:46,"AAAAABPz/28=",0)</f>
        <v>0</v>
      </c>
      <c r="DI3" t="e">
        <f>AND('AWS SA_Schedule_Offline'!#REF!,"AAAAABPz/3A=")</f>
        <v>#REF!</v>
      </c>
      <c r="DJ3" t="e">
        <f>AND('AWS SA_Schedule_Offline'!B46,"AAAAABPz/3E=")</f>
        <v>#VALUE!</v>
      </c>
      <c r="DK3" t="e">
        <f>AND('AWS SA_Schedule_Offline'!#REF!,"AAAAABPz/3I=")</f>
        <v>#REF!</v>
      </c>
      <c r="DL3" t="e">
        <f>AND('AWS SA_Schedule_Offline'!D46,"AAAAABPz/3M=")</f>
        <v>#VALUE!</v>
      </c>
      <c r="DM3" t="e">
        <f>AND('AWS SA_Schedule_Offline'!E46,"AAAAABPz/3Q=")</f>
        <v>#VALUE!</v>
      </c>
      <c r="DN3" t="e">
        <f>AND('AWS SA_Schedule_Offline'!F46,"AAAAABPz/3U=")</f>
        <v>#VALUE!</v>
      </c>
      <c r="DO3">
        <f>IF('AWS SA_Schedule_Offline'!47:47,"AAAAABPz/3Y=",0)</f>
        <v>0</v>
      </c>
      <c r="DP3" t="e">
        <f>AND('AWS SA_Schedule_Offline'!#REF!,"AAAAABPz/3c=")</f>
        <v>#REF!</v>
      </c>
      <c r="DQ3" t="e">
        <f>AND('AWS SA_Schedule_Offline'!B47,"AAAAABPz/3g=")</f>
        <v>#VALUE!</v>
      </c>
      <c r="DR3" t="e">
        <f>AND('AWS SA_Schedule_Offline'!#REF!,"AAAAABPz/3k=")</f>
        <v>#REF!</v>
      </c>
      <c r="DS3" t="e">
        <f>AND('AWS SA_Schedule_Offline'!D47,"AAAAABPz/3o=")</f>
        <v>#VALUE!</v>
      </c>
      <c r="DT3" t="e">
        <f>AND('AWS SA_Schedule_Offline'!E47,"AAAAABPz/3s=")</f>
        <v>#VALUE!</v>
      </c>
      <c r="DU3" t="e">
        <f>IF('AWS SA_Schedule_Offline'!#REF!,"AAAAABPz/3w=",0)</f>
        <v>#REF!</v>
      </c>
      <c r="DV3" t="e">
        <f>IF('AWS SA_Schedule_Offline'!#REF!,"AAAAABPz/30=",0)</f>
        <v>#REF!</v>
      </c>
      <c r="DW3" t="e">
        <f>IF('AWS SA_Schedule_Offline'!B:B,"AAAAABPz/34=",0)</f>
        <v>#VALUE!</v>
      </c>
      <c r="DX3" t="e">
        <f>IF('AWS SA_Schedule_Offline'!#REF!,"AAAAABPz/38=",0)</f>
        <v>#REF!</v>
      </c>
      <c r="DY3" t="e">
        <f>IF('AWS SA_Schedule_Offline'!D:D,"AAAAABPz/4A=",0)</f>
        <v>#VALUE!</v>
      </c>
      <c r="DZ3" t="str">
        <f>IF('AWS SA_Schedule_Offline'!E:E,"AAAAABPz/4E=",0)</f>
        <v>AAAAABPz/4E=</v>
      </c>
      <c r="EA3">
        <f>IF('AWS SA_Schedule_Offline'!F:F,"AAAAABPz/4I=",0)</f>
        <v>0</v>
      </c>
      <c r="EB3">
        <f>IF('Author and Rec of Changes'!1:1,"AAAAABPz/4M=",0)</f>
        <v>0</v>
      </c>
      <c r="EC3" t="e">
        <f>AND('Author and Rec of Changes'!A1,"AAAAABPz/4Q=")</f>
        <v>#VALUE!</v>
      </c>
      <c r="ED3" t="e">
        <f>AND('Author and Rec of Changes'!B1,"AAAAABPz/4U=")</f>
        <v>#VALUE!</v>
      </c>
      <c r="EE3" t="e">
        <f>AND('Author and Rec of Changes'!C1,"AAAAABPz/4Y=")</f>
        <v>#VALUE!</v>
      </c>
      <c r="EF3" t="e">
        <f>AND('Author and Rec of Changes'!E1,"AAAAABPz/4c=")</f>
        <v>#VALUE!</v>
      </c>
      <c r="EG3" t="e">
        <f>AND('Author and Rec of Changes'!F1,"AAAAABPz/4g=")</f>
        <v>#VALUE!</v>
      </c>
      <c r="EH3" t="e">
        <f>AND('Author and Rec of Changes'!G1,"AAAAABPz/4k=")</f>
        <v>#VALUE!</v>
      </c>
      <c r="EI3" t="e">
        <f>IF('Author and Rec of Changes'!#REF!,"AAAAABPz/4o=",0)</f>
        <v>#REF!</v>
      </c>
      <c r="EJ3" t="e">
        <f>AND('Author and Rec of Changes'!#REF!,"AAAAABPz/4s=")</f>
        <v>#REF!</v>
      </c>
      <c r="EK3" t="e">
        <f>AND('Author and Rec of Changes'!#REF!,"AAAAABPz/4w=")</f>
        <v>#REF!</v>
      </c>
      <c r="EL3" t="e">
        <f>AND('Author and Rec of Changes'!#REF!,"AAAAABPz/40=")</f>
        <v>#REF!</v>
      </c>
      <c r="EM3" t="e">
        <f>AND('Author and Rec of Changes'!#REF!,"AAAAABPz/44=")</f>
        <v>#REF!</v>
      </c>
      <c r="EN3" t="e">
        <f>AND('Author and Rec of Changes'!#REF!,"AAAAABPz/48=")</f>
        <v>#REF!</v>
      </c>
      <c r="EO3" t="e">
        <f>AND('Author and Rec of Changes'!#REF!,"AAAAABPz/5A=")</f>
        <v>#REF!</v>
      </c>
      <c r="EP3">
        <f>IF('Author and Rec of Changes'!2:2,"AAAAABPz/5E=",0)</f>
        <v>0</v>
      </c>
      <c r="EQ3" t="e">
        <f>AND('Author and Rec of Changes'!A2,"AAAAABPz/5I=")</f>
        <v>#VALUE!</v>
      </c>
      <c r="ER3" t="e">
        <f>AND('Author and Rec of Changes'!B2,"AAAAABPz/5M=")</f>
        <v>#VALUE!</v>
      </c>
      <c r="ES3" t="e">
        <f>AND('Author and Rec of Changes'!C2,"AAAAABPz/5Q=")</f>
        <v>#VALUE!</v>
      </c>
      <c r="ET3" t="e">
        <f>AND('Author and Rec of Changes'!E2,"AAAAABPz/5U=")</f>
        <v>#VALUE!</v>
      </c>
      <c r="EU3" t="e">
        <f>AND('Author and Rec of Changes'!F2,"AAAAABPz/5Y=")</f>
        <v>#VALUE!</v>
      </c>
      <c r="EV3" t="e">
        <f>AND('Author and Rec of Changes'!G2,"AAAAABPz/5c=")</f>
        <v>#VALUE!</v>
      </c>
      <c r="EW3">
        <f>IF('Author and Rec of Changes'!3:3,"AAAAABPz/5g=",0)</f>
        <v>0</v>
      </c>
      <c r="EX3" t="e">
        <f>AND('Author and Rec of Changes'!A3,"AAAAABPz/5k=")</f>
        <v>#VALUE!</v>
      </c>
      <c r="EY3" t="e">
        <f>AND('Author and Rec of Changes'!B3,"AAAAABPz/5o=")</f>
        <v>#VALUE!</v>
      </c>
      <c r="EZ3" t="e">
        <f>AND('Author and Rec of Changes'!C3,"AAAAABPz/5s=")</f>
        <v>#VALUE!</v>
      </c>
      <c r="FA3" t="e">
        <f>AND('Author and Rec of Changes'!E3,"AAAAABPz/5w=")</f>
        <v>#VALUE!</v>
      </c>
      <c r="FB3" t="e">
        <f>AND('Author and Rec of Changes'!F3,"AAAAABPz/50=")</f>
        <v>#VALUE!</v>
      </c>
      <c r="FC3" t="e">
        <f>AND('Author and Rec of Changes'!G3,"AAAAABPz/54=")</f>
        <v>#VALUE!</v>
      </c>
      <c r="FD3" t="e">
        <f>IF('Author and Rec of Changes'!#REF!,"AAAAABPz/58=",0)</f>
        <v>#REF!</v>
      </c>
      <c r="FE3" t="e">
        <f>AND('Author and Rec of Changes'!#REF!,"AAAAABPz/6A=")</f>
        <v>#REF!</v>
      </c>
      <c r="FF3" t="e">
        <f>AND('Author and Rec of Changes'!#REF!,"AAAAABPz/6E=")</f>
        <v>#REF!</v>
      </c>
      <c r="FG3" t="e">
        <f>AND('Author and Rec of Changes'!#REF!,"AAAAABPz/6I=")</f>
        <v>#REF!</v>
      </c>
      <c r="FH3" t="e">
        <f>AND('Author and Rec of Changes'!#REF!,"AAAAABPz/6M=")</f>
        <v>#REF!</v>
      </c>
      <c r="FI3" t="e">
        <f>AND('Author and Rec of Changes'!#REF!,"AAAAABPz/6Q=")</f>
        <v>#REF!</v>
      </c>
      <c r="FJ3" t="e">
        <f>AND('Author and Rec of Changes'!#REF!,"AAAAABPz/6U=")</f>
        <v>#REF!</v>
      </c>
      <c r="FK3" t="e">
        <f>IF('Author and Rec of Changes'!#REF!,"AAAAABPz/6Y=",0)</f>
        <v>#REF!</v>
      </c>
      <c r="FL3" t="e">
        <f>AND('Author and Rec of Changes'!#REF!,"AAAAABPz/6c=")</f>
        <v>#REF!</v>
      </c>
      <c r="FM3" t="e">
        <f>AND('Author and Rec of Changes'!#REF!,"AAAAABPz/6g=")</f>
        <v>#REF!</v>
      </c>
      <c r="FN3" t="e">
        <f>AND('Author and Rec of Changes'!#REF!,"AAAAABPz/6k=")</f>
        <v>#REF!</v>
      </c>
      <c r="FO3" t="e">
        <f>AND('Author and Rec of Changes'!#REF!,"AAAAABPz/6o=")</f>
        <v>#REF!</v>
      </c>
      <c r="FP3" t="e">
        <f>AND('Author and Rec of Changes'!#REF!,"AAAAABPz/6s=")</f>
        <v>#REF!</v>
      </c>
      <c r="FQ3" t="e">
        <f>AND('Author and Rec of Changes'!#REF!,"AAAAABPz/6w=")</f>
        <v>#REF!</v>
      </c>
      <c r="FR3">
        <f>IF('Author and Rec of Changes'!4:4,"AAAAABPz/60=",0)</f>
        <v>0</v>
      </c>
      <c r="FS3" t="e">
        <f>AND('Author and Rec of Changes'!A4,"AAAAABPz/64=")</f>
        <v>#VALUE!</v>
      </c>
      <c r="FT3" t="e">
        <f>AND('Author and Rec of Changes'!B4,"AAAAABPz/68=")</f>
        <v>#VALUE!</v>
      </c>
      <c r="FU3" t="e">
        <f>AND('Author and Rec of Changes'!C4,"AAAAABPz/7A=")</f>
        <v>#VALUE!</v>
      </c>
      <c r="FV3" t="e">
        <f>AND('Author and Rec of Changes'!E4,"AAAAABPz/7E=")</f>
        <v>#VALUE!</v>
      </c>
      <c r="FW3" t="e">
        <f>AND('Author and Rec of Changes'!F4,"AAAAABPz/7I=")</f>
        <v>#VALUE!</v>
      </c>
      <c r="FX3" t="e">
        <f>AND('Author and Rec of Changes'!G4,"AAAAABPz/7M=")</f>
        <v>#VALUE!</v>
      </c>
      <c r="FY3" t="e">
        <f>IF('Author and Rec of Changes'!#REF!,"AAAAABPz/7Q=",0)</f>
        <v>#REF!</v>
      </c>
      <c r="FZ3" t="e">
        <f>AND('Author and Rec of Changes'!#REF!,"AAAAABPz/7U=")</f>
        <v>#REF!</v>
      </c>
      <c r="GA3" t="e">
        <f>AND('Author and Rec of Changes'!#REF!,"AAAAABPz/7Y=")</f>
        <v>#REF!</v>
      </c>
      <c r="GB3" t="e">
        <f>AND('Author and Rec of Changes'!#REF!,"AAAAABPz/7c=")</f>
        <v>#REF!</v>
      </c>
      <c r="GC3" t="e">
        <f>AND('Author and Rec of Changes'!#REF!,"AAAAABPz/7g=")</f>
        <v>#REF!</v>
      </c>
      <c r="GD3" t="e">
        <f>AND('Author and Rec of Changes'!#REF!,"AAAAABPz/7k=")</f>
        <v>#REF!</v>
      </c>
      <c r="GE3" t="e">
        <f>AND('Author and Rec of Changes'!#REF!,"AAAAABPz/7o=")</f>
        <v>#REF!</v>
      </c>
      <c r="GF3" t="e">
        <f>IF('Author and Rec of Changes'!#REF!,"AAAAABPz/7s=",0)</f>
        <v>#REF!</v>
      </c>
      <c r="GG3" t="e">
        <f>AND('Author and Rec of Changes'!#REF!,"AAAAABPz/7w=")</f>
        <v>#REF!</v>
      </c>
      <c r="GH3" t="e">
        <f>AND('Author and Rec of Changes'!#REF!,"AAAAABPz/70=")</f>
        <v>#REF!</v>
      </c>
      <c r="GI3" t="e">
        <f>AND('Author and Rec of Changes'!#REF!,"AAAAABPz/74=")</f>
        <v>#REF!</v>
      </c>
      <c r="GJ3" t="e">
        <f>AND('Author and Rec of Changes'!#REF!,"AAAAABPz/78=")</f>
        <v>#REF!</v>
      </c>
      <c r="GK3" t="e">
        <f>AND('Author and Rec of Changes'!#REF!,"AAAAABPz/8A=")</f>
        <v>#REF!</v>
      </c>
      <c r="GL3" t="e">
        <f>AND('Author and Rec of Changes'!#REF!,"AAAAABPz/8E=")</f>
        <v>#REF!</v>
      </c>
      <c r="GM3" t="e">
        <f>IF('Author and Rec of Changes'!#REF!,"AAAAABPz/8I=",0)</f>
        <v>#REF!</v>
      </c>
      <c r="GN3" t="e">
        <f>AND('Author and Rec of Changes'!#REF!,"AAAAABPz/8M=")</f>
        <v>#REF!</v>
      </c>
      <c r="GO3" t="e">
        <f>AND('Author and Rec of Changes'!#REF!,"AAAAABPz/8Q=")</f>
        <v>#REF!</v>
      </c>
      <c r="GP3" t="e">
        <f>AND('Author and Rec of Changes'!#REF!,"AAAAABPz/8U=")</f>
        <v>#REF!</v>
      </c>
      <c r="GQ3" t="e">
        <f>AND('Author and Rec of Changes'!#REF!,"AAAAABPz/8Y=")</f>
        <v>#REF!</v>
      </c>
      <c r="GR3" t="e">
        <f>AND('Author and Rec of Changes'!#REF!,"AAAAABPz/8c=")</f>
        <v>#REF!</v>
      </c>
      <c r="GS3" t="e">
        <f>AND('Author and Rec of Changes'!#REF!,"AAAAABPz/8g=")</f>
        <v>#REF!</v>
      </c>
      <c r="GT3" t="e">
        <f>IF('Author and Rec of Changes'!#REF!,"AAAAABPz/8k=",0)</f>
        <v>#REF!</v>
      </c>
      <c r="GU3" t="e">
        <f>AND('Author and Rec of Changes'!#REF!,"AAAAABPz/8o=")</f>
        <v>#REF!</v>
      </c>
      <c r="GV3" t="e">
        <f>AND('Author and Rec of Changes'!#REF!,"AAAAABPz/8s=")</f>
        <v>#REF!</v>
      </c>
      <c r="GW3" t="e">
        <f>AND('Author and Rec of Changes'!#REF!,"AAAAABPz/8w=")</f>
        <v>#REF!</v>
      </c>
      <c r="GX3" t="e">
        <f>AND('Author and Rec of Changes'!#REF!,"AAAAABPz/80=")</f>
        <v>#REF!</v>
      </c>
      <c r="GY3" t="e">
        <f>AND('Author and Rec of Changes'!#REF!,"AAAAABPz/84=")</f>
        <v>#REF!</v>
      </c>
      <c r="GZ3" t="e">
        <f>AND('Author and Rec of Changes'!#REF!,"AAAAABPz/88=")</f>
        <v>#REF!</v>
      </c>
      <c r="HA3" t="e">
        <f>IF('Author and Rec of Changes'!#REF!,"AAAAABPz/9A=",0)</f>
        <v>#REF!</v>
      </c>
      <c r="HB3" t="e">
        <f>AND('Author and Rec of Changes'!#REF!,"AAAAABPz/9E=")</f>
        <v>#REF!</v>
      </c>
      <c r="HC3" t="e">
        <f>AND('Author and Rec of Changes'!#REF!,"AAAAABPz/9I=")</f>
        <v>#REF!</v>
      </c>
      <c r="HD3" t="e">
        <f>AND('Author and Rec of Changes'!#REF!,"AAAAABPz/9M=")</f>
        <v>#REF!</v>
      </c>
      <c r="HE3" t="e">
        <f>AND('Author and Rec of Changes'!#REF!,"AAAAABPz/9Q=")</f>
        <v>#REF!</v>
      </c>
      <c r="HF3" t="e">
        <f>AND('Author and Rec of Changes'!#REF!,"AAAAABPz/9U=")</f>
        <v>#REF!</v>
      </c>
      <c r="HG3" t="e">
        <f>AND('Author and Rec of Changes'!#REF!,"AAAAABPz/9Y=")</f>
        <v>#REF!</v>
      </c>
      <c r="HH3" t="e">
        <f>IF('Author and Rec of Changes'!#REF!,"AAAAABPz/9c=",0)</f>
        <v>#REF!</v>
      </c>
      <c r="HI3" t="e">
        <f>AND('Author and Rec of Changes'!#REF!,"AAAAABPz/9g=")</f>
        <v>#REF!</v>
      </c>
      <c r="HJ3" t="e">
        <f>AND('Author and Rec of Changes'!#REF!,"AAAAABPz/9k=")</f>
        <v>#REF!</v>
      </c>
      <c r="HK3" t="e">
        <f>AND('Author and Rec of Changes'!#REF!,"AAAAABPz/9o=")</f>
        <v>#REF!</v>
      </c>
      <c r="HL3" t="e">
        <f>AND('Author and Rec of Changes'!#REF!,"AAAAABPz/9s=")</f>
        <v>#REF!</v>
      </c>
      <c r="HM3" t="e">
        <f>AND('Author and Rec of Changes'!#REF!,"AAAAABPz/9w=")</f>
        <v>#REF!</v>
      </c>
      <c r="HN3" t="e">
        <f>AND('Author and Rec of Changes'!#REF!,"AAAAABPz/90=")</f>
        <v>#REF!</v>
      </c>
      <c r="HO3" t="e">
        <f>IF('Author and Rec of Changes'!#REF!,"AAAAABPz/94=",0)</f>
        <v>#REF!</v>
      </c>
      <c r="HP3" t="e">
        <f>AND('Author and Rec of Changes'!#REF!,"AAAAABPz/98=")</f>
        <v>#REF!</v>
      </c>
      <c r="HQ3" t="e">
        <f>AND('Author and Rec of Changes'!#REF!,"AAAAABPz/+A=")</f>
        <v>#REF!</v>
      </c>
      <c r="HR3" t="e">
        <f>AND('Author and Rec of Changes'!#REF!,"AAAAABPz/+E=")</f>
        <v>#REF!</v>
      </c>
      <c r="HS3" t="e">
        <f>AND('Author and Rec of Changes'!#REF!,"AAAAABPz/+I=")</f>
        <v>#REF!</v>
      </c>
      <c r="HT3" t="e">
        <f>AND('Author and Rec of Changes'!#REF!,"AAAAABPz/+M=")</f>
        <v>#REF!</v>
      </c>
      <c r="HU3" t="e">
        <f>AND('Author and Rec of Changes'!#REF!,"AAAAABPz/+Q=")</f>
        <v>#REF!</v>
      </c>
      <c r="HV3">
        <f>IF('Author and Rec of Changes'!5:5,"AAAAABPz/+U=",0)</f>
        <v>0</v>
      </c>
      <c r="HW3" t="e">
        <f>AND('Author and Rec of Changes'!A5,"AAAAABPz/+Y=")</f>
        <v>#VALUE!</v>
      </c>
      <c r="HX3" t="e">
        <f>AND('Author and Rec of Changes'!B5,"AAAAABPz/+c=")</f>
        <v>#VALUE!</v>
      </c>
      <c r="HY3" t="e">
        <f>AND('Author and Rec of Changes'!C5,"AAAAABPz/+g=")</f>
        <v>#VALUE!</v>
      </c>
      <c r="HZ3" t="e">
        <f>AND('Author and Rec of Changes'!E5,"AAAAABPz/+k=")</f>
        <v>#VALUE!</v>
      </c>
      <c r="IA3" t="e">
        <f>AND('Author and Rec of Changes'!F5,"AAAAABPz/+o=")</f>
        <v>#VALUE!</v>
      </c>
      <c r="IB3" t="e">
        <f>AND('Author and Rec of Changes'!G5,"AAAAABPz/+s=")</f>
        <v>#VALUE!</v>
      </c>
      <c r="IC3" t="e">
        <f>IF('Author and Rec of Changes'!#REF!,"AAAAABPz/+w=",0)</f>
        <v>#REF!</v>
      </c>
      <c r="ID3" t="e">
        <f>AND('Author and Rec of Changes'!#REF!,"AAAAABPz/+0=")</f>
        <v>#REF!</v>
      </c>
      <c r="IE3" t="e">
        <f>AND('Author and Rec of Changes'!#REF!,"AAAAABPz/+4=")</f>
        <v>#REF!</v>
      </c>
      <c r="IF3" t="e">
        <f>AND('Author and Rec of Changes'!#REF!,"AAAAABPz/+8=")</f>
        <v>#REF!</v>
      </c>
      <c r="IG3" t="e">
        <f>AND('Author and Rec of Changes'!#REF!,"AAAAABPz//A=")</f>
        <v>#REF!</v>
      </c>
      <c r="IH3" t="e">
        <f>AND('Author and Rec of Changes'!#REF!,"AAAAABPz//E=")</f>
        <v>#REF!</v>
      </c>
      <c r="II3" t="e">
        <f>AND('Author and Rec of Changes'!#REF!,"AAAAABPz//I=")</f>
        <v>#REF!</v>
      </c>
      <c r="IJ3" t="e">
        <f>IF('Author and Rec of Changes'!#REF!,"AAAAABPz//M=",0)</f>
        <v>#REF!</v>
      </c>
      <c r="IK3" t="e">
        <f>AND('Author and Rec of Changes'!#REF!,"AAAAABPz//Q=")</f>
        <v>#REF!</v>
      </c>
      <c r="IL3" t="e">
        <f>AND('Author and Rec of Changes'!#REF!,"AAAAABPz//U=")</f>
        <v>#REF!</v>
      </c>
      <c r="IM3" t="e">
        <f>AND('Author and Rec of Changes'!#REF!,"AAAAABPz//Y=")</f>
        <v>#REF!</v>
      </c>
      <c r="IN3" t="e">
        <f>AND('Author and Rec of Changes'!#REF!,"AAAAABPz//c=")</f>
        <v>#REF!</v>
      </c>
      <c r="IO3" t="e">
        <f>AND('Author and Rec of Changes'!#REF!,"AAAAABPz//g=")</f>
        <v>#REF!</v>
      </c>
      <c r="IP3" t="e">
        <f>AND('Author and Rec of Changes'!#REF!,"AAAAABPz//k=")</f>
        <v>#REF!</v>
      </c>
      <c r="IQ3">
        <f>IF('Author and Rec of Changes'!6:6,"AAAAABPz//o=",0)</f>
        <v>0</v>
      </c>
      <c r="IR3" t="e">
        <f>AND('Author and Rec of Changes'!A6,"AAAAABPz//s=")</f>
        <v>#VALUE!</v>
      </c>
      <c r="IS3" t="e">
        <f>AND('Author and Rec of Changes'!B6,"AAAAABPz//w=")</f>
        <v>#VALUE!</v>
      </c>
      <c r="IT3" t="e">
        <f>AND('Author and Rec of Changes'!C6,"AAAAABPz//0=")</f>
        <v>#VALUE!</v>
      </c>
      <c r="IU3" t="e">
        <f>AND('Author and Rec of Changes'!E6,"AAAAABPz//4=")</f>
        <v>#VALUE!</v>
      </c>
      <c r="IV3" t="e">
        <f>AND('Author and Rec of Changes'!F6,"AAAAABPz//8=")</f>
        <v>#VALUE!</v>
      </c>
    </row>
    <row r="4" spans="1:256" ht="15">
      <c r="A4" t="e">
        <f>AND('Author and Rec of Changes'!G6,"AAAAAH/rVAA=")</f>
        <v>#VALUE!</v>
      </c>
      <c r="B4">
        <f>IF('Author and Rec of Changes'!7:7,"AAAAAH/rVAE=",0)</f>
        <v>0</v>
      </c>
      <c r="C4" t="e">
        <f>AND('Author and Rec of Changes'!A7,"AAAAAH/rVAI=")</f>
        <v>#VALUE!</v>
      </c>
      <c r="D4" t="e">
        <f>AND('Author and Rec of Changes'!B7,"AAAAAH/rVAM=")</f>
        <v>#VALUE!</v>
      </c>
      <c r="E4" t="e">
        <f>AND('Author and Rec of Changes'!C7,"AAAAAH/rVAQ=")</f>
        <v>#VALUE!</v>
      </c>
      <c r="F4" t="e">
        <f>AND('Author and Rec of Changes'!E7,"AAAAAH/rVAU=")</f>
        <v>#VALUE!</v>
      </c>
      <c r="G4" t="e">
        <f>AND('Author and Rec of Changes'!F7,"AAAAAH/rVAY=")</f>
        <v>#VALUE!</v>
      </c>
      <c r="H4" t="e">
        <f>AND('Author and Rec of Changes'!G7,"AAAAAH/rVAc=")</f>
        <v>#VALUE!</v>
      </c>
      <c r="I4">
        <f>IF('Author and Rec of Changes'!8:8,"AAAAAH/rVAg=",0)</f>
        <v>0</v>
      </c>
      <c r="J4" t="e">
        <f>AND('Author and Rec of Changes'!A8,"AAAAAH/rVAk=")</f>
        <v>#VALUE!</v>
      </c>
      <c r="K4" t="e">
        <f>AND('Author and Rec of Changes'!B8,"AAAAAH/rVAo=")</f>
        <v>#VALUE!</v>
      </c>
      <c r="L4" t="e">
        <f>AND('Author and Rec of Changes'!C8,"AAAAAH/rVAs=")</f>
        <v>#VALUE!</v>
      </c>
      <c r="M4" t="e">
        <f>AND('Author and Rec of Changes'!E8,"AAAAAH/rVAw=")</f>
        <v>#VALUE!</v>
      </c>
      <c r="N4" t="e">
        <f>AND('Author and Rec of Changes'!F8,"AAAAAH/rVA0=")</f>
        <v>#VALUE!</v>
      </c>
      <c r="O4" t="e">
        <f>AND('Author and Rec of Changes'!G8,"AAAAAH/rVA4=")</f>
        <v>#VALUE!</v>
      </c>
      <c r="P4">
        <f>IF('Author and Rec of Changes'!9:9,"AAAAAH/rVA8=",0)</f>
        <v>0</v>
      </c>
      <c r="Q4" t="e">
        <f>AND('Author and Rec of Changes'!A9,"AAAAAH/rVBA=")</f>
        <v>#VALUE!</v>
      </c>
      <c r="R4" t="e">
        <f>AND('Author and Rec of Changes'!B9,"AAAAAH/rVBE=")</f>
        <v>#VALUE!</v>
      </c>
      <c r="S4" t="e">
        <f>AND('Author and Rec of Changes'!C9,"AAAAAH/rVBI=")</f>
        <v>#VALUE!</v>
      </c>
      <c r="T4" t="e">
        <f>AND('Author and Rec of Changes'!E9,"AAAAAH/rVBM=")</f>
        <v>#VALUE!</v>
      </c>
      <c r="U4" t="e">
        <f>AND('Author and Rec of Changes'!F9,"AAAAAH/rVBQ=")</f>
        <v>#VALUE!</v>
      </c>
      <c r="V4" t="e">
        <f>AND('Author and Rec of Changes'!G9,"AAAAAH/rVBU=")</f>
        <v>#VALUE!</v>
      </c>
      <c r="W4">
        <f>IF('Author and Rec of Changes'!10:10,"AAAAAH/rVBY=",0)</f>
        <v>0</v>
      </c>
      <c r="X4">
        <f>IF('Author and Rec of Changes'!11:11,"AAAAAH/rVBc=",0)</f>
        <v>0</v>
      </c>
      <c r="Y4">
        <f>IF('Author and Rec of Changes'!12:12,"AAAAAH/rVBg=",0)</f>
        <v>0</v>
      </c>
      <c r="Z4">
        <f>IF('Author and Rec of Changes'!13:13,"AAAAAH/rVBk=",0)</f>
        <v>0</v>
      </c>
      <c r="AA4">
        <f>IF('Author and Rec of Changes'!14:14,"AAAAAH/rVBo=",0)</f>
        <v>0</v>
      </c>
      <c r="AB4">
        <f>IF('Author and Rec of Changes'!15:15,"AAAAAH/rVBs=",0)</f>
        <v>0</v>
      </c>
      <c r="AC4">
        <f>IF('Author and Rec of Changes'!16:16,"AAAAAH/rVBw=",0)</f>
        <v>0</v>
      </c>
      <c r="AD4">
        <f>IF('Author and Rec of Changes'!A:A,"AAAAAH/rVB0=",0)</f>
        <v>0</v>
      </c>
      <c r="AE4" t="e">
        <f>IF('Author and Rec of Changes'!B:B,"AAAAAH/rVB4=",0)</f>
        <v>#VALUE!</v>
      </c>
      <c r="AF4" t="e">
        <f>IF('Author and Rec of Changes'!C:C,"AAAAAH/rVB8=",0)</f>
        <v>#VALUE!</v>
      </c>
      <c r="AG4" t="e">
        <f>IF('Author and Rec of Changes'!E:E,"AAAAAH/rVCA=",0)</f>
        <v>#VALUE!</v>
      </c>
      <c r="AH4">
        <f>IF('Author and Rec of Changes'!F:F,"AAAAAH/rVCE=",0)</f>
        <v>0</v>
      </c>
      <c r="AI4">
        <f>IF('Author and Rec of Changes'!G:G,"AAAAAH/rVCI=",0)</f>
        <v>0</v>
      </c>
      <c r="AJ4" t="s">
        <v>50</v>
      </c>
      <c r="AK4" s="1" t="s">
        <v>51</v>
      </c>
      <c r="AL4" s="2" t="s">
        <v>52</v>
      </c>
      <c r="AM4" t="e">
        <f>IF("N",'AWS SA_Schedule_Offline'!_xlnm._FilterDatabase,"AAAAAH/rVCY=")</f>
        <v>#VALUE!</v>
      </c>
    </row>
    <row r="5" spans="1:256">
      <c r="A5" t="e">
        <f>AND('Architecting on AWS_Syllabus'!A1,"AAAAACvx+wA=")</f>
        <v>#VALUE!</v>
      </c>
      <c r="B5" t="e">
        <f>IF('Architecting on AWS_Syllabus'!#REF!,"AAAAACvx+wE=",0)</f>
        <v>#REF!</v>
      </c>
      <c r="C5" t="e">
        <f>AND('Architecting on AWS_Syllabus'!#REF!,"AAAAACvx+wI=")</f>
        <v>#REF!</v>
      </c>
      <c r="D5" t="e">
        <f>AND('Architecting on AWS_Syllabus'!#REF!,"AAAAACvx+wM=")</f>
        <v>#REF!</v>
      </c>
      <c r="E5" t="e">
        <f>AND('Architecting on AWS_Syllabus'!#REF!,"AAAAACvx+wQ=")</f>
        <v>#REF!</v>
      </c>
      <c r="F5" t="e">
        <f>AND('Architecting on AWS_Syllabus'!#REF!,"AAAAACvx+wU=")</f>
        <v>#REF!</v>
      </c>
      <c r="G5" t="e">
        <f>AND('Architecting on AWS_Syllabus'!#REF!,"AAAAACvx+wY=")</f>
        <v>#REF!</v>
      </c>
      <c r="H5" t="e">
        <f>AND('Architecting on AWS_Syllabus'!#REF!,"AAAAACvx+wc=")</f>
        <v>#REF!</v>
      </c>
      <c r="I5" t="e">
        <f>AND('Architecting on AWS_Syllabus'!#REF!,"AAAAACvx+wg=")</f>
        <v>#REF!</v>
      </c>
      <c r="J5">
        <f>IF('Architecting on AWS_Syllabus'!2:2,"AAAAACvx+wk=",0)</f>
        <v>0</v>
      </c>
      <c r="K5" t="e">
        <f>AND('Architecting on AWS_Syllabus'!A2,"AAAAACvx+wo=")</f>
        <v>#VALUE!</v>
      </c>
      <c r="L5" t="e">
        <f>AND('Architecting on AWS_Syllabus'!B2,"AAAAACvx+ws=")</f>
        <v>#VALUE!</v>
      </c>
      <c r="M5" t="e">
        <f>AND('Architecting on AWS_Syllabus'!C2,"AAAAACvx+ww=")</f>
        <v>#VALUE!</v>
      </c>
      <c r="N5" t="e">
        <f>AND('Architecting on AWS_Syllabus'!D2,"AAAAACvx+w0=")</f>
        <v>#VALUE!</v>
      </c>
      <c r="O5" t="e">
        <f>AND('Architecting on AWS_Syllabus'!E2,"AAAAACvx+w4=")</f>
        <v>#VALUE!</v>
      </c>
      <c r="P5" t="e">
        <f>AND('Architecting on AWS_Syllabus'!F2,"AAAAACvx+w8=")</f>
        <v>#VALUE!</v>
      </c>
      <c r="Q5" t="e">
        <f>AND('Architecting on AWS_Syllabus'!G2,"AAAAACvx+xA=")</f>
        <v>#VALUE!</v>
      </c>
    </row>
  </sheetData>
  <sheetCalcPr fullCalcOnLoad="1"/>
  <phoneticPr fontId="3" type="noConversion"/>
  <pageMargins left="0.7" right="0.7" top="0.75" bottom="0.75" header="0.3" footer="0.3"/>
  <customProperties>
    <customPr name="DVSECTIONID" r:id="rId1"/>
  </customPropertie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Architecting on AWS_Syllabus</vt:lpstr>
      <vt:lpstr>AWS SA_Schedule_Offline</vt:lpstr>
      <vt:lpstr>Author and Rec of Changes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Training Topic Syllabus</dc:title>
  <dc:subject>1/1</dc:subject>
  <dc:creator>Nguyen Trung Kien</dc:creator>
  <cp:keywords>Syllabus</cp:keywords>
  <dc:description>- Sửa đổi toàn bộ cấu trúc &amp; nội dung tài liệu
Lý do:
Phục vụ nhu cầu thực tế</dc:description>
  <cp:lastModifiedBy>Admin</cp:lastModifiedBy>
  <cp:lastPrinted>2012-11-12T04:29:11Z</cp:lastPrinted>
  <dcterms:created xsi:type="dcterms:W3CDTF">2010-11-19T03:46:05Z</dcterms:created>
  <dcterms:modified xsi:type="dcterms:W3CDTF">2022-07-23T06:28:22Z</dcterms:modified>
  <cp:category>Template</cp:category>
  <cp:contentStatus>20/11/2012</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7d101b9e-569a-4072-b6e3-c1c146c6f6e8</vt:lpwstr>
  </property>
</Properties>
</file>