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3f3fbf10eb23cb/Documents/"/>
    </mc:Choice>
  </mc:AlternateContent>
  <xr:revisionPtr revIDLastSave="420" documentId="8_{43A2CCFE-95EC-4051-8756-12018E9B7D87}" xr6:coauthVersionLast="45" xr6:coauthVersionMax="45" xr10:uidLastSave="{232B4776-D512-4D2F-888E-030D82B9238C}"/>
  <bookViews>
    <workbookView xWindow="-110" yWindow="-110" windowWidth="19420" windowHeight="10420" activeTab="7" xr2:uid="{110B8E08-FA48-9B4E-A747-4FD86E0098A5}"/>
  </bookViews>
  <sheets>
    <sheet name="reuters" sheetId="9" r:id="rId1"/>
    <sheet name="pricedata" sheetId="3" r:id="rId2"/>
    <sheet name="logs" sheetId="1" r:id="rId3"/>
    <sheet name="positions" sheetId="5" r:id="rId4"/>
    <sheet name="p&amp;l" sheetId="6" r:id="rId5"/>
    <sheet name="risk" sheetId="7" r:id="rId6"/>
    <sheet name="assumptions" sheetId="4" r:id="rId7"/>
    <sheet name="conventions" sheetId="2" r:id="rId8"/>
  </sheets>
  <definedNames>
    <definedName name="exchange">conventions!$E:$R</definedName>
    <definedName name="factor">conventions!$T:$U</definedName>
    <definedName name="realtimepx" localSheetId="0">reuters!$C:$D</definedName>
    <definedName name="realtimepx">pricedata!$C:$D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3" i="7" l="1"/>
  <c r="O3" i="7"/>
  <c r="N3" i="7"/>
  <c r="L24" i="1" l="1"/>
  <c r="L23" i="1"/>
  <c r="L22" i="1"/>
  <c r="L26" i="1"/>
  <c r="L25" i="1"/>
  <c r="L32" i="1"/>
  <c r="L31" i="1"/>
  <c r="K24" i="1"/>
  <c r="K23" i="1"/>
  <c r="R38" i="1"/>
  <c r="O38" i="1"/>
  <c r="N38" i="1"/>
  <c r="M38" i="1"/>
  <c r="L38" i="1"/>
  <c r="S37" i="1"/>
  <c r="R37" i="1"/>
  <c r="O37" i="1"/>
  <c r="N37" i="1"/>
  <c r="M37" i="1"/>
  <c r="L37" i="1"/>
  <c r="J38" i="1"/>
  <c r="J37" i="1"/>
  <c r="S36" i="1"/>
  <c r="R36" i="1"/>
  <c r="O36" i="1"/>
  <c r="N36" i="1"/>
  <c r="M36" i="1"/>
  <c r="L36" i="1"/>
  <c r="R35" i="1"/>
  <c r="O35" i="1"/>
  <c r="N35" i="1"/>
  <c r="P35" i="1" s="1"/>
  <c r="Q35" i="1" s="1"/>
  <c r="M35" i="1"/>
  <c r="L35" i="1"/>
  <c r="J36" i="1"/>
  <c r="J35" i="1"/>
  <c r="R34" i="1"/>
  <c r="O34" i="1"/>
  <c r="N34" i="1"/>
  <c r="M34" i="1"/>
  <c r="L34" i="1"/>
  <c r="S33" i="1"/>
  <c r="R33" i="1"/>
  <c r="O33" i="1"/>
  <c r="N33" i="1"/>
  <c r="M33" i="1"/>
  <c r="L33" i="1"/>
  <c r="J34" i="1"/>
  <c r="J33" i="1"/>
  <c r="F34" i="1"/>
  <c r="F33" i="1"/>
  <c r="AR135" i="3"/>
  <c r="AR134" i="3"/>
  <c r="AR133" i="3"/>
  <c r="AR132" i="3"/>
  <c r="AR131" i="3"/>
  <c r="AR130" i="3"/>
  <c r="AR129" i="3"/>
  <c r="AR128" i="3"/>
  <c r="AR127" i="3"/>
  <c r="AR126" i="3"/>
  <c r="AR125" i="3"/>
  <c r="AR124" i="3"/>
  <c r="AR123" i="3"/>
  <c r="AR122" i="3"/>
  <c r="AR121" i="3"/>
  <c r="AR120" i="3"/>
  <c r="AR119" i="3"/>
  <c r="AR118" i="3"/>
  <c r="AR117" i="3"/>
  <c r="AR116" i="3"/>
  <c r="AR115" i="3"/>
  <c r="AR114" i="3"/>
  <c r="AR113" i="3"/>
  <c r="AR112" i="3"/>
  <c r="AR111" i="3"/>
  <c r="AR110" i="3"/>
  <c r="AR109" i="3"/>
  <c r="AR108" i="3"/>
  <c r="AR107" i="3"/>
  <c r="AR106" i="3"/>
  <c r="AR105" i="3"/>
  <c r="AR104" i="3"/>
  <c r="AR103" i="3"/>
  <c r="AR102" i="3"/>
  <c r="AR101" i="3"/>
  <c r="AR100" i="3"/>
  <c r="AR99" i="3"/>
  <c r="AR98" i="3"/>
  <c r="AR97" i="3"/>
  <c r="AR96" i="3"/>
  <c r="AR95" i="3"/>
  <c r="AR94" i="3"/>
  <c r="AR93" i="3"/>
  <c r="AR92" i="3"/>
  <c r="AR91" i="3"/>
  <c r="AR90" i="3"/>
  <c r="AR89" i="3"/>
  <c r="AR88" i="3"/>
  <c r="AR87" i="3"/>
  <c r="AR86" i="3"/>
  <c r="AR85" i="3"/>
  <c r="AR84" i="3"/>
  <c r="AR83" i="3"/>
  <c r="AR82" i="3"/>
  <c r="AR81" i="3"/>
  <c r="AR80" i="3"/>
  <c r="AR79" i="3"/>
  <c r="AR78" i="3"/>
  <c r="AR77" i="3"/>
  <c r="AR76" i="3"/>
  <c r="AR75" i="3"/>
  <c r="AR74" i="3"/>
  <c r="AR73" i="3"/>
  <c r="AR72" i="3"/>
  <c r="AR71" i="3"/>
  <c r="AR70" i="3"/>
  <c r="AR69" i="3"/>
  <c r="AR68" i="3"/>
  <c r="AR67" i="3"/>
  <c r="AR66" i="3"/>
  <c r="AR65" i="3"/>
  <c r="AR64" i="3"/>
  <c r="AR63" i="3"/>
  <c r="AR62" i="3"/>
  <c r="AR61" i="3"/>
  <c r="AR60" i="3"/>
  <c r="AR59" i="3"/>
  <c r="AR58" i="3"/>
  <c r="AR57" i="3"/>
  <c r="AR56" i="3"/>
  <c r="AR55" i="3"/>
  <c r="AR54" i="3"/>
  <c r="AR53" i="3"/>
  <c r="AR52" i="3"/>
  <c r="AR51" i="3"/>
  <c r="AR50" i="3"/>
  <c r="AR49" i="3"/>
  <c r="AR48" i="3"/>
  <c r="AR47" i="3"/>
  <c r="AR46" i="3"/>
  <c r="AR45" i="3"/>
  <c r="AR44" i="3"/>
  <c r="AR43" i="3"/>
  <c r="AR42" i="3"/>
  <c r="AR41" i="3"/>
  <c r="AR40" i="3"/>
  <c r="AR39" i="3"/>
  <c r="AR38" i="3"/>
  <c r="AR37" i="3"/>
  <c r="AR36" i="3"/>
  <c r="AR35" i="3"/>
  <c r="AR34" i="3"/>
  <c r="AR33" i="3"/>
  <c r="AR32" i="3"/>
  <c r="AR31" i="3"/>
  <c r="AR30" i="3"/>
  <c r="AR29" i="3"/>
  <c r="AR28" i="3"/>
  <c r="AR27" i="3"/>
  <c r="AR26" i="3"/>
  <c r="AR25" i="3"/>
  <c r="AR24" i="3"/>
  <c r="AR23" i="3"/>
  <c r="AR22" i="3"/>
  <c r="AR21" i="3"/>
  <c r="AR20" i="3"/>
  <c r="AR19" i="3"/>
  <c r="AR18" i="3"/>
  <c r="AR17" i="3"/>
  <c r="AR16" i="3"/>
  <c r="AR15" i="3"/>
  <c r="AR14" i="3"/>
  <c r="AR13" i="3"/>
  <c r="AR12" i="3"/>
  <c r="AR11" i="3"/>
  <c r="AR10" i="3"/>
  <c r="AR9" i="3"/>
  <c r="AR8" i="3"/>
  <c r="AR6" i="3"/>
  <c r="AR5" i="3"/>
  <c r="AR4" i="3"/>
  <c r="AR3" i="3"/>
  <c r="AR2" i="3"/>
  <c r="L30" i="1"/>
  <c r="M30" i="1"/>
  <c r="N30" i="1"/>
  <c r="L29" i="1"/>
  <c r="M29" i="1"/>
  <c r="N29" i="1"/>
  <c r="J29" i="1"/>
  <c r="R28" i="1"/>
  <c r="O28" i="1"/>
  <c r="N28" i="1"/>
  <c r="M28" i="1"/>
  <c r="L28" i="1"/>
  <c r="R27" i="1"/>
  <c r="O27" i="1"/>
  <c r="P27" i="1" s="1"/>
  <c r="Q27" i="1" s="1"/>
  <c r="N27" i="1"/>
  <c r="M27" i="1"/>
  <c r="L27" i="1"/>
  <c r="J27" i="1"/>
  <c r="J28" i="1" s="1"/>
  <c r="F28" i="1"/>
  <c r="F27" i="1"/>
  <c r="R26" i="1"/>
  <c r="O26" i="1"/>
  <c r="N26" i="1"/>
  <c r="M26" i="1"/>
  <c r="R25" i="1"/>
  <c r="O25" i="1"/>
  <c r="N25" i="1"/>
  <c r="M25" i="1"/>
  <c r="J26" i="1"/>
  <c r="J25" i="1"/>
  <c r="M22" i="1"/>
  <c r="N22" i="1"/>
  <c r="O22" i="1"/>
  <c r="R22" i="1"/>
  <c r="M23" i="1"/>
  <c r="N23" i="1"/>
  <c r="O23" i="1"/>
  <c r="R23" i="1"/>
  <c r="M24" i="1"/>
  <c r="N24" i="1"/>
  <c r="O24" i="1"/>
  <c r="R24" i="1"/>
  <c r="J24" i="1"/>
  <c r="J23" i="1"/>
  <c r="J22" i="1"/>
  <c r="F24" i="1"/>
  <c r="F23" i="1"/>
  <c r="F22" i="1"/>
  <c r="P33" i="1" l="1"/>
  <c r="P38" i="1"/>
  <c r="Q38" i="1" s="1"/>
  <c r="P36" i="1"/>
  <c r="Q36" i="1" s="1"/>
  <c r="V33" i="1"/>
  <c r="P34" i="1"/>
  <c r="Q34" i="1" s="1"/>
  <c r="V37" i="1"/>
  <c r="P37" i="1"/>
  <c r="Q37" i="1" s="1"/>
  <c r="S38" i="1"/>
  <c r="V38" i="1" s="1"/>
  <c r="V36" i="1"/>
  <c r="S35" i="1"/>
  <c r="V35" i="1" s="1"/>
  <c r="S34" i="1"/>
  <c r="V34" i="1" s="1"/>
  <c r="P28" i="1"/>
  <c r="Q28" i="1" s="1"/>
  <c r="P26" i="1"/>
  <c r="Q26" i="1" s="1"/>
  <c r="P24" i="1"/>
  <c r="Q24" i="1" s="1"/>
  <c r="P25" i="1"/>
  <c r="Q25" i="1" s="1"/>
  <c r="P23" i="1"/>
  <c r="Q23" i="1" s="1"/>
  <c r="P22" i="1"/>
  <c r="Q22" i="1" s="1"/>
  <c r="Q33" i="1" l="1"/>
  <c r="R32" i="1" l="1"/>
  <c r="O32" i="1"/>
  <c r="N32" i="1"/>
  <c r="M32" i="1"/>
  <c r="R31" i="1"/>
  <c r="O31" i="1"/>
  <c r="N31" i="1"/>
  <c r="M31" i="1"/>
  <c r="J31" i="1"/>
  <c r="J32" i="1" s="1"/>
  <c r="G17" i="7"/>
  <c r="F17" i="7"/>
  <c r="E17" i="7"/>
  <c r="D17" i="7"/>
  <c r="C17" i="7"/>
  <c r="B17" i="7"/>
  <c r="G16" i="7"/>
  <c r="F16" i="7"/>
  <c r="E16" i="7"/>
  <c r="C16" i="7"/>
  <c r="G15" i="7"/>
  <c r="F15" i="7"/>
  <c r="E15" i="7"/>
  <c r="D15" i="7"/>
  <c r="C15" i="7"/>
  <c r="B15" i="7"/>
  <c r="G14" i="7"/>
  <c r="F14" i="7"/>
  <c r="E14" i="7"/>
  <c r="B14" i="7"/>
  <c r="G13" i="7"/>
  <c r="E13" i="7"/>
  <c r="D13" i="7"/>
  <c r="C13" i="7"/>
  <c r="B13" i="7"/>
  <c r="G12" i="7"/>
  <c r="F12" i="7"/>
  <c r="E12" i="7"/>
  <c r="D12" i="7"/>
  <c r="C12" i="7"/>
  <c r="G8" i="7"/>
  <c r="F8" i="7"/>
  <c r="E8" i="7"/>
  <c r="D8" i="7"/>
  <c r="C8" i="7"/>
  <c r="B8" i="7"/>
  <c r="G7" i="7"/>
  <c r="F7" i="7"/>
  <c r="E7" i="7"/>
  <c r="D7" i="7"/>
  <c r="C7" i="7"/>
  <c r="B7" i="7"/>
  <c r="G6" i="7"/>
  <c r="F6" i="7"/>
  <c r="E6" i="7"/>
  <c r="D6" i="7"/>
  <c r="C6" i="7"/>
  <c r="G5" i="7"/>
  <c r="F5" i="7"/>
  <c r="E5" i="7"/>
  <c r="D5" i="7"/>
  <c r="C5" i="7"/>
  <c r="B5" i="7"/>
  <c r="G4" i="7"/>
  <c r="E4" i="7"/>
  <c r="D4" i="7"/>
  <c r="C4" i="7"/>
  <c r="G3" i="7"/>
  <c r="F3" i="7"/>
  <c r="D3" i="7"/>
  <c r="C3" i="7"/>
  <c r="B3" i="7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" i="1"/>
  <c r="M20" i="1"/>
  <c r="N20" i="1"/>
  <c r="O20" i="1"/>
  <c r="R20" i="1"/>
  <c r="M21" i="1"/>
  <c r="N21" i="1"/>
  <c r="O21" i="1"/>
  <c r="R21" i="1"/>
  <c r="J20" i="1"/>
  <c r="J21" i="1" s="1"/>
  <c r="M18" i="1"/>
  <c r="N18" i="1"/>
  <c r="O18" i="1"/>
  <c r="R18" i="1"/>
  <c r="M19" i="1"/>
  <c r="N19" i="1"/>
  <c r="O19" i="1"/>
  <c r="R19" i="1"/>
  <c r="J18" i="1"/>
  <c r="J19" i="1" s="1"/>
  <c r="G58" i="7"/>
  <c r="F58" i="7"/>
  <c r="E58" i="7"/>
  <c r="D58" i="7"/>
  <c r="C58" i="7"/>
  <c r="B58" i="7"/>
  <c r="G57" i="7"/>
  <c r="F57" i="7"/>
  <c r="E57" i="7"/>
  <c r="D57" i="7"/>
  <c r="C57" i="7"/>
  <c r="B57" i="7"/>
  <c r="G56" i="7"/>
  <c r="F56" i="7"/>
  <c r="E56" i="7"/>
  <c r="D56" i="7"/>
  <c r="C56" i="7"/>
  <c r="B56" i="7"/>
  <c r="G55" i="7"/>
  <c r="F55" i="7"/>
  <c r="E55" i="7"/>
  <c r="D55" i="7"/>
  <c r="C55" i="7"/>
  <c r="B55" i="7"/>
  <c r="G54" i="7"/>
  <c r="F54" i="7"/>
  <c r="E54" i="7"/>
  <c r="D54" i="7"/>
  <c r="C54" i="7"/>
  <c r="B54" i="7"/>
  <c r="G53" i="7"/>
  <c r="F53" i="7"/>
  <c r="E53" i="7"/>
  <c r="D53" i="7"/>
  <c r="C53" i="7"/>
  <c r="B53" i="7"/>
  <c r="G52" i="7"/>
  <c r="F52" i="7"/>
  <c r="E52" i="7"/>
  <c r="D52" i="7"/>
  <c r="C52" i="7"/>
  <c r="B52" i="7"/>
  <c r="G51" i="7"/>
  <c r="E51" i="7"/>
  <c r="G50" i="7"/>
  <c r="F50" i="7"/>
  <c r="E50" i="7"/>
  <c r="C50" i="7"/>
  <c r="B50" i="7"/>
  <c r="G49" i="7"/>
  <c r="F49" i="7"/>
  <c r="E49" i="7"/>
  <c r="D49" i="7"/>
  <c r="C49" i="7"/>
  <c r="G48" i="7"/>
  <c r="E48" i="7"/>
  <c r="D48" i="7"/>
  <c r="C48" i="7"/>
  <c r="G47" i="7"/>
  <c r="F47" i="7"/>
  <c r="E47" i="7"/>
  <c r="D47" i="7"/>
  <c r="C47" i="7"/>
  <c r="B47" i="7"/>
  <c r="G46" i="7"/>
  <c r="F46" i="7"/>
  <c r="E46" i="7"/>
  <c r="C46" i="7"/>
  <c r="G45" i="7"/>
  <c r="E45" i="7"/>
  <c r="B45" i="7"/>
  <c r="G44" i="7"/>
  <c r="B44" i="7"/>
  <c r="G43" i="7"/>
  <c r="F43" i="7"/>
  <c r="E43" i="7"/>
  <c r="D43" i="7"/>
  <c r="B43" i="7"/>
  <c r="G42" i="7"/>
  <c r="F42" i="7"/>
  <c r="E42" i="7"/>
  <c r="C42" i="7"/>
  <c r="B42" i="7"/>
  <c r="G38" i="7"/>
  <c r="F38" i="7"/>
  <c r="E38" i="7"/>
  <c r="D38" i="7"/>
  <c r="C38" i="7"/>
  <c r="B38" i="7"/>
  <c r="G37" i="7"/>
  <c r="F37" i="7"/>
  <c r="E37" i="7"/>
  <c r="D37" i="7"/>
  <c r="C37" i="7"/>
  <c r="B37" i="7"/>
  <c r="G36" i="7"/>
  <c r="F36" i="7"/>
  <c r="E36" i="7"/>
  <c r="D36" i="7"/>
  <c r="C36" i="7"/>
  <c r="B36" i="7"/>
  <c r="G35" i="7"/>
  <c r="F35" i="7"/>
  <c r="E35" i="7"/>
  <c r="D35" i="7"/>
  <c r="C35" i="7"/>
  <c r="B35" i="7"/>
  <c r="G34" i="7"/>
  <c r="F34" i="7"/>
  <c r="E34" i="7"/>
  <c r="D34" i="7"/>
  <c r="C34" i="7"/>
  <c r="B34" i="7"/>
  <c r="G33" i="7"/>
  <c r="F33" i="7"/>
  <c r="E33" i="7"/>
  <c r="D33" i="7"/>
  <c r="C33" i="7"/>
  <c r="B33" i="7"/>
  <c r="G32" i="7"/>
  <c r="F32" i="7"/>
  <c r="E32" i="7"/>
  <c r="D32" i="7"/>
  <c r="C32" i="7"/>
  <c r="B32" i="7"/>
  <c r="G31" i="7"/>
  <c r="E31" i="7"/>
  <c r="G30" i="7"/>
  <c r="F30" i="7"/>
  <c r="E30" i="7"/>
  <c r="D30" i="7"/>
  <c r="B30" i="7"/>
  <c r="G29" i="7"/>
  <c r="F29" i="7"/>
  <c r="D29" i="7"/>
  <c r="C29" i="7"/>
  <c r="B29" i="7"/>
  <c r="G28" i="7"/>
  <c r="F28" i="7"/>
  <c r="E28" i="7"/>
  <c r="D28" i="7"/>
  <c r="C28" i="7"/>
  <c r="G27" i="7"/>
  <c r="F27" i="7"/>
  <c r="E27" i="7"/>
  <c r="D27" i="7"/>
  <c r="C27" i="7"/>
  <c r="B27" i="7"/>
  <c r="G26" i="7"/>
  <c r="F26" i="7"/>
  <c r="E26" i="7"/>
  <c r="D26" i="7"/>
  <c r="G25" i="7"/>
  <c r="E25" i="7"/>
  <c r="C25" i="7"/>
  <c r="B25" i="7"/>
  <c r="G24" i="7"/>
  <c r="F24" i="7"/>
  <c r="E24" i="7"/>
  <c r="D24" i="7"/>
  <c r="G23" i="7"/>
  <c r="E23" i="7"/>
  <c r="D23" i="7"/>
  <c r="C23" i="7"/>
  <c r="B23" i="7"/>
  <c r="G22" i="7"/>
  <c r="F22" i="7"/>
  <c r="E22" i="7"/>
  <c r="D22" i="7"/>
  <c r="B22" i="7"/>
  <c r="P19" i="1" l="1"/>
  <c r="Q19" i="1" s="1"/>
  <c r="D44" i="7" s="1"/>
  <c r="P18" i="1"/>
  <c r="P21" i="1"/>
  <c r="Q21" i="1" s="1"/>
  <c r="C31" i="7" s="1"/>
  <c r="P32" i="1"/>
  <c r="Q32" i="1" s="1"/>
  <c r="P20" i="1"/>
  <c r="P31" i="1"/>
  <c r="Q31" i="1" s="1"/>
  <c r="H17" i="7"/>
  <c r="G18" i="7"/>
  <c r="E18" i="7"/>
  <c r="D9" i="7"/>
  <c r="C9" i="7"/>
  <c r="G9" i="7"/>
  <c r="H37" i="7"/>
  <c r="H55" i="7"/>
  <c r="H33" i="7"/>
  <c r="H58" i="7"/>
  <c r="H54" i="7"/>
  <c r="H27" i="7"/>
  <c r="H32" i="7"/>
  <c r="H34" i="7"/>
  <c r="H35" i="7"/>
  <c r="H36" i="7"/>
  <c r="H38" i="7"/>
  <c r="H53" i="7"/>
  <c r="H57" i="7"/>
  <c r="G59" i="7"/>
  <c r="H52" i="7"/>
  <c r="H56" i="7"/>
  <c r="H47" i="7"/>
  <c r="R3" i="1"/>
  <c r="R4" i="1"/>
  <c r="R5" i="1"/>
  <c r="R6" i="1"/>
  <c r="R7" i="1"/>
  <c r="R12" i="1"/>
  <c r="R13" i="1"/>
  <c r="R14" i="1"/>
  <c r="R15" i="1"/>
  <c r="R16" i="1"/>
  <c r="R17" i="1"/>
  <c r="R2" i="1"/>
  <c r="L15" i="7" l="1"/>
  <c r="Q18" i="1"/>
  <c r="C24" i="7"/>
  <c r="L13" i="7"/>
  <c r="K13" i="7"/>
  <c r="C22" i="7"/>
  <c r="H22" i="7" s="1"/>
  <c r="Q20" i="1"/>
  <c r="H8" i="7"/>
  <c r="G39" i="7"/>
  <c r="K15" i="7" l="1"/>
  <c r="D42" i="7"/>
  <c r="H42" i="7" s="1"/>
  <c r="M17" i="1"/>
  <c r="C6" i="3"/>
  <c r="M16" i="1"/>
  <c r="M14" i="1"/>
  <c r="M15" i="1"/>
  <c r="J14" i="1"/>
  <c r="J15" i="1" s="1"/>
  <c r="J12" i="1"/>
  <c r="J13" i="1" s="1"/>
  <c r="M13" i="1"/>
  <c r="M12" i="1"/>
  <c r="C2" i="3"/>
  <c r="C3" i="3"/>
  <c r="C4" i="3"/>
  <c r="C5" i="3"/>
  <c r="C7" i="3"/>
  <c r="C9" i="3"/>
  <c r="K13" i="2"/>
  <c r="J10" i="1"/>
  <c r="J11" i="1" s="1"/>
  <c r="M11" i="1"/>
  <c r="M10" i="1"/>
  <c r="J8" i="1"/>
  <c r="J9" i="1" s="1"/>
  <c r="M9" i="1"/>
  <c r="M8" i="1"/>
  <c r="M6" i="1"/>
  <c r="M7" i="1"/>
  <c r="J6" i="1"/>
  <c r="J7" i="1" s="1"/>
  <c r="M4" i="1"/>
  <c r="M5" i="1"/>
  <c r="J4" i="1"/>
  <c r="J5" i="1" s="1"/>
  <c r="F2" i="1"/>
  <c r="J2" i="1"/>
  <c r="J3" i="1" s="1"/>
  <c r="C2" i="4"/>
  <c r="S28" i="1"/>
  <c r="V28" i="1" s="1"/>
  <c r="S29" i="1"/>
  <c r="S22" i="1"/>
  <c r="V22" i="1" s="1"/>
  <c r="S23" i="1"/>
  <c r="V23" i="1" s="1"/>
  <c r="S19" i="1"/>
  <c r="V19" i="1" s="1"/>
  <c r="S20" i="1"/>
  <c r="V20" i="1" s="1"/>
  <c r="S21" i="1"/>
  <c r="V21" i="1" s="1"/>
  <c r="S31" i="1"/>
  <c r="V31" i="1" s="1"/>
  <c r="S25" i="1"/>
  <c r="V25" i="1" s="1"/>
  <c r="S32" i="1"/>
  <c r="V32" i="1" s="1"/>
  <c r="S26" i="1"/>
  <c r="V26" i="1" s="1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38" i="3"/>
  <c r="C39" i="3"/>
  <c r="C40" i="3"/>
  <c r="C41" i="3"/>
  <c r="C42" i="3"/>
  <c r="C37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8" i="3"/>
  <c r="F1" i="3"/>
  <c r="G1" i="3" s="1"/>
  <c r="H1" i="3" s="1"/>
  <c r="I1" i="3" s="1"/>
  <c r="J1" i="3" s="1"/>
  <c r="K1" i="3" s="1"/>
  <c r="L1" i="3" s="1"/>
  <c r="M1" i="3" s="1"/>
  <c r="N1" i="3" s="1"/>
  <c r="O1" i="3" s="1"/>
  <c r="P1" i="3" s="1"/>
  <c r="Q1" i="3" s="1"/>
  <c r="R1" i="3" s="1"/>
  <c r="S1" i="3" s="1"/>
  <c r="T1" i="3" s="1"/>
  <c r="U1" i="3" s="1"/>
  <c r="V1" i="3" s="1"/>
  <c r="W1" i="3" s="1"/>
  <c r="X1" i="3" s="1"/>
  <c r="Y1" i="3" s="1"/>
  <c r="Z1" i="3" s="1"/>
  <c r="AA1" i="3" s="1"/>
  <c r="AB1" i="3" s="1"/>
  <c r="AC1" i="3" s="1"/>
  <c r="AD1" i="3" s="1"/>
  <c r="AE1" i="3" s="1"/>
  <c r="AF1" i="3" s="1"/>
  <c r="AG1" i="3" s="1"/>
  <c r="AH1" i="3" s="1"/>
  <c r="AI1" i="3" s="1"/>
  <c r="AJ1" i="3" s="1"/>
  <c r="AK1" i="3" s="1"/>
  <c r="AL1" i="3" s="1"/>
  <c r="AM1" i="3" s="1"/>
  <c r="AN1" i="3" s="1"/>
  <c r="AO1" i="3" s="1"/>
  <c r="AP1" i="3" s="1"/>
  <c r="AQ1" i="3" s="1"/>
  <c r="AR1" i="3" s="1"/>
  <c r="AS1" i="3" s="1"/>
  <c r="AT1" i="3" s="1"/>
  <c r="AU1" i="3" s="1"/>
  <c r="AV1" i="3" s="1"/>
  <c r="AW1" i="3" s="1"/>
  <c r="AX1" i="3" s="1"/>
  <c r="AY1" i="3" s="1"/>
  <c r="AZ1" i="3" s="1"/>
  <c r="BA1" i="3" s="1"/>
  <c r="BB1" i="3" s="1"/>
  <c r="BC1" i="3" s="1"/>
  <c r="BD1" i="3" s="1"/>
  <c r="BE1" i="3" s="1"/>
  <c r="BF1" i="3" s="1"/>
  <c r="BG1" i="3" s="1"/>
  <c r="BH1" i="3" s="1"/>
  <c r="BI1" i="3" s="1"/>
  <c r="BJ1" i="3" s="1"/>
  <c r="BK1" i="3" s="1"/>
  <c r="BL1" i="3" s="1"/>
  <c r="BM1" i="3" s="1"/>
  <c r="BN1" i="3" s="1"/>
  <c r="BO1" i="3" s="1"/>
  <c r="BP1" i="3" s="1"/>
  <c r="BQ1" i="3" s="1"/>
  <c r="BR1" i="3" s="1"/>
  <c r="BS1" i="3" s="1"/>
  <c r="BT1" i="3" s="1"/>
  <c r="BU1" i="3" s="1"/>
  <c r="BV1" i="3" s="1"/>
  <c r="BW1" i="3" s="1"/>
  <c r="BX1" i="3" s="1"/>
  <c r="BY1" i="3" s="1"/>
  <c r="BZ1" i="3" s="1"/>
  <c r="CA1" i="3" s="1"/>
  <c r="CB1" i="3" s="1"/>
  <c r="CC1" i="3" s="1"/>
  <c r="CD1" i="3" s="1"/>
  <c r="CE1" i="3" s="1"/>
  <c r="CF1" i="3" s="1"/>
  <c r="CG1" i="3" s="1"/>
  <c r="CH1" i="3" s="1"/>
  <c r="CI1" i="3" s="1"/>
  <c r="CJ1" i="3" s="1"/>
  <c r="CK1" i="3" s="1"/>
  <c r="CL1" i="3" s="1"/>
  <c r="CM1" i="3" s="1"/>
  <c r="CN1" i="3" s="1"/>
  <c r="CO1" i="3" s="1"/>
  <c r="M3" i="1"/>
  <c r="M2" i="1"/>
  <c r="O29" i="2"/>
  <c r="O28" i="2"/>
  <c r="O23" i="2"/>
  <c r="O24" i="2"/>
  <c r="O25" i="2"/>
  <c r="O26" i="2"/>
  <c r="O27" i="2"/>
  <c r="O22" i="2"/>
  <c r="O11" i="2"/>
  <c r="O7" i="2"/>
  <c r="O8" i="2"/>
  <c r="O9" i="2"/>
  <c r="O10" i="2"/>
  <c r="O12" i="2"/>
  <c r="O6" i="2"/>
  <c r="O16" i="2"/>
  <c r="O15" i="2"/>
  <c r="O14" i="2"/>
  <c r="O5" i="2"/>
  <c r="O13" i="2"/>
  <c r="O4" i="2"/>
  <c r="O3" i="2"/>
  <c r="O17" i="2"/>
  <c r="O19" i="2"/>
  <c r="O20" i="2"/>
  <c r="O21" i="2"/>
  <c r="O18" i="2"/>
  <c r="N4" i="2"/>
  <c r="N6" i="2"/>
  <c r="N7" i="2"/>
  <c r="N8" i="2"/>
  <c r="N9" i="2"/>
  <c r="N10" i="2"/>
  <c r="N12" i="2"/>
  <c r="N5" i="2"/>
  <c r="N11" i="2"/>
  <c r="N17" i="2"/>
  <c r="N18" i="2"/>
  <c r="N19" i="2"/>
  <c r="N20" i="2"/>
  <c r="N21" i="2"/>
  <c r="N22" i="2"/>
  <c r="N23" i="2"/>
  <c r="N24" i="2"/>
  <c r="N25" i="2"/>
  <c r="N26" i="2"/>
  <c r="O17" i="1" s="1"/>
  <c r="N27" i="2"/>
  <c r="N28" i="2"/>
  <c r="N29" i="2"/>
  <c r="N3" i="2"/>
  <c r="M12" i="2"/>
  <c r="M22" i="2"/>
  <c r="M23" i="2"/>
  <c r="N16" i="1" s="1"/>
  <c r="M24" i="2"/>
  <c r="M25" i="2"/>
  <c r="M26" i="2"/>
  <c r="N17" i="1" s="1"/>
  <c r="M27" i="2"/>
  <c r="M28" i="2"/>
  <c r="M29" i="2"/>
  <c r="M4" i="2"/>
  <c r="N8" i="1" s="1"/>
  <c r="M6" i="2"/>
  <c r="M7" i="2"/>
  <c r="M11" i="2"/>
  <c r="M8" i="2"/>
  <c r="M9" i="2"/>
  <c r="M10" i="2"/>
  <c r="N11" i="1" s="1"/>
  <c r="M5" i="2"/>
  <c r="M17" i="2"/>
  <c r="N12" i="1" s="1"/>
  <c r="M18" i="2"/>
  <c r="M19" i="2"/>
  <c r="N4" i="1" s="1"/>
  <c r="M20" i="2"/>
  <c r="M21" i="2"/>
  <c r="M3" i="2"/>
  <c r="N3" i="1" s="1"/>
  <c r="K5" i="2"/>
  <c r="K16" i="2"/>
  <c r="N16" i="2" s="1"/>
  <c r="K15" i="2"/>
  <c r="M15" i="2" s="1"/>
  <c r="K14" i="2"/>
  <c r="M14" i="2" s="1"/>
  <c r="M13" i="2"/>
  <c r="N6" i="1" s="1"/>
  <c r="O29" i="1" l="1"/>
  <c r="P29" i="1" s="1"/>
  <c r="Q29" i="1" s="1"/>
  <c r="R29" i="1"/>
  <c r="R9" i="1"/>
  <c r="R8" i="1"/>
  <c r="AL36" i="6" s="1"/>
  <c r="S24" i="1"/>
  <c r="V24" i="1" s="1"/>
  <c r="S27" i="1"/>
  <c r="V27" i="1" s="1"/>
  <c r="S18" i="1"/>
  <c r="V18" i="1" s="1"/>
  <c r="M15" i="7" s="1"/>
  <c r="AS30" i="6"/>
  <c r="M30" i="6" s="1"/>
  <c r="AK30" i="6"/>
  <c r="E30" i="6" s="1"/>
  <c r="AP29" i="6"/>
  <c r="J29" i="6" s="1"/>
  <c r="AH29" i="6"/>
  <c r="AM28" i="6"/>
  <c r="G28" i="6" s="1"/>
  <c r="AQ27" i="6"/>
  <c r="AT26" i="6"/>
  <c r="N26" i="6" s="1"/>
  <c r="AL26" i="6"/>
  <c r="F26" i="6" s="1"/>
  <c r="AQ25" i="6"/>
  <c r="K25" i="6" s="1"/>
  <c r="AI25" i="6"/>
  <c r="C25" i="6" s="1"/>
  <c r="AM24" i="6"/>
  <c r="G24" i="6" s="1"/>
  <c r="AR23" i="6"/>
  <c r="L23" i="6" s="1"/>
  <c r="AJ23" i="6"/>
  <c r="D23" i="6" s="1"/>
  <c r="AO22" i="6"/>
  <c r="I22" i="6" s="1"/>
  <c r="AT21" i="6"/>
  <c r="N21" i="6" s="1"/>
  <c r="AL21" i="6"/>
  <c r="F21" i="6" s="1"/>
  <c r="AP20" i="6"/>
  <c r="J20" i="6" s="1"/>
  <c r="AT19" i="6"/>
  <c r="N19" i="6" s="1"/>
  <c r="AL19" i="6"/>
  <c r="F19" i="6" s="1"/>
  <c r="AP18" i="6"/>
  <c r="J18" i="6" s="1"/>
  <c r="AT17" i="6"/>
  <c r="N17" i="6" s="1"/>
  <c r="AJ17" i="6"/>
  <c r="D17" i="6" s="1"/>
  <c r="AO16" i="6"/>
  <c r="I16" i="6" s="1"/>
  <c r="AT15" i="6"/>
  <c r="N15" i="6" s="1"/>
  <c r="AL15" i="6"/>
  <c r="F15" i="6" s="1"/>
  <c r="AN14" i="6"/>
  <c r="H14" i="6" s="1"/>
  <c r="AR13" i="6"/>
  <c r="L13" i="6" s="1"/>
  <c r="AJ13" i="6"/>
  <c r="D13" i="6" s="1"/>
  <c r="AO12" i="6"/>
  <c r="I12" i="6" s="1"/>
  <c r="AT11" i="6"/>
  <c r="N11" i="6" s="1"/>
  <c r="AL11" i="6"/>
  <c r="F11" i="6" s="1"/>
  <c r="AQ10" i="6"/>
  <c r="K10" i="6" s="1"/>
  <c r="AT9" i="6"/>
  <c r="N9" i="6" s="1"/>
  <c r="AL9" i="6"/>
  <c r="F9" i="6" s="1"/>
  <c r="AQ8" i="6"/>
  <c r="K8" i="6" s="1"/>
  <c r="AI8" i="6"/>
  <c r="C8" i="6" s="1"/>
  <c r="AN7" i="6"/>
  <c r="H7" i="6" s="1"/>
  <c r="AS6" i="6"/>
  <c r="M6" i="6" s="1"/>
  <c r="AK6" i="6"/>
  <c r="E6" i="6" s="1"/>
  <c r="AP5" i="6"/>
  <c r="J5" i="6" s="1"/>
  <c r="AS4" i="6"/>
  <c r="AI4" i="6"/>
  <c r="C4" i="6" s="1"/>
  <c r="AR30" i="6"/>
  <c r="L30" i="6" s="1"/>
  <c r="AJ30" i="6"/>
  <c r="D30" i="6" s="1"/>
  <c r="AO29" i="6"/>
  <c r="I29" i="6" s="1"/>
  <c r="AT28" i="6"/>
  <c r="N28" i="6" s="1"/>
  <c r="AL28" i="6"/>
  <c r="F28" i="6" s="1"/>
  <c r="AP27" i="6"/>
  <c r="J27" i="6" s="1"/>
  <c r="AS26" i="6"/>
  <c r="M26" i="6" s="1"/>
  <c r="AK26" i="6"/>
  <c r="E26" i="6" s="1"/>
  <c r="AP25" i="6"/>
  <c r="J25" i="6" s="1"/>
  <c r="AH25" i="6"/>
  <c r="AL24" i="6"/>
  <c r="F24" i="6" s="1"/>
  <c r="AQ23" i="6"/>
  <c r="K23" i="6" s="1"/>
  <c r="AI23" i="6"/>
  <c r="C23" i="6" s="1"/>
  <c r="AN22" i="6"/>
  <c r="H22" i="6" s="1"/>
  <c r="AS21" i="6"/>
  <c r="M21" i="6" s="1"/>
  <c r="AK21" i="6"/>
  <c r="E21" i="6" s="1"/>
  <c r="AO20" i="6"/>
  <c r="I20" i="6" s="1"/>
  <c r="AS19" i="6"/>
  <c r="M19" i="6" s="1"/>
  <c r="AK19" i="6"/>
  <c r="E19" i="6" s="1"/>
  <c r="AO18" i="6"/>
  <c r="I18" i="6" s="1"/>
  <c r="AS17" i="6"/>
  <c r="M17" i="6" s="1"/>
  <c r="AI17" i="6"/>
  <c r="C17" i="6" s="1"/>
  <c r="AN16" i="6"/>
  <c r="H16" i="6" s="1"/>
  <c r="AS15" i="6"/>
  <c r="M15" i="6" s="1"/>
  <c r="AK15" i="6"/>
  <c r="E15" i="6" s="1"/>
  <c r="AM14" i="6"/>
  <c r="G14" i="6" s="1"/>
  <c r="AQ13" i="6"/>
  <c r="K13" i="6" s="1"/>
  <c r="AI13" i="6"/>
  <c r="C13" i="6" s="1"/>
  <c r="AN12" i="6"/>
  <c r="H12" i="6" s="1"/>
  <c r="AS11" i="6"/>
  <c r="M11" i="6" s="1"/>
  <c r="AK11" i="6"/>
  <c r="E11" i="6" s="1"/>
  <c r="AP10" i="6"/>
  <c r="J10" i="6" s="1"/>
  <c r="AS9" i="6"/>
  <c r="M9" i="6" s="1"/>
  <c r="AK9" i="6"/>
  <c r="E9" i="6" s="1"/>
  <c r="AP8" i="6"/>
  <c r="J8" i="6" s="1"/>
  <c r="AH8" i="6"/>
  <c r="AM7" i="6"/>
  <c r="G7" i="6" s="1"/>
  <c r="AR6" i="6"/>
  <c r="L6" i="6" s="1"/>
  <c r="AJ6" i="6"/>
  <c r="D6" i="6" s="1"/>
  <c r="AO5" i="6"/>
  <c r="I5" i="6" s="1"/>
  <c r="AR4" i="6"/>
  <c r="AH4" i="6"/>
  <c r="AN24" i="6"/>
  <c r="H24" i="6" s="1"/>
  <c r="AR20" i="6"/>
  <c r="L20" i="6" s="1"/>
  <c r="AK17" i="6"/>
  <c r="E17" i="6" s="1"/>
  <c r="AS13" i="6"/>
  <c r="M13" i="6" s="1"/>
  <c r="AH10" i="6"/>
  <c r="AL6" i="6"/>
  <c r="F6" i="6" s="1"/>
  <c r="AQ30" i="6"/>
  <c r="K30" i="6" s="1"/>
  <c r="AI30" i="6"/>
  <c r="C30" i="6" s="1"/>
  <c r="AN29" i="6"/>
  <c r="H29" i="6" s="1"/>
  <c r="AS28" i="6"/>
  <c r="M28" i="6" s="1"/>
  <c r="AK28" i="6"/>
  <c r="E28" i="6" s="1"/>
  <c r="AO27" i="6"/>
  <c r="I27" i="6" s="1"/>
  <c r="AR26" i="6"/>
  <c r="L26" i="6" s="1"/>
  <c r="AJ26" i="6"/>
  <c r="D26" i="6" s="1"/>
  <c r="AO25" i="6"/>
  <c r="I25" i="6" s="1"/>
  <c r="AT24" i="6"/>
  <c r="N24" i="6" s="1"/>
  <c r="AK24" i="6"/>
  <c r="E24" i="6" s="1"/>
  <c r="AP23" i="6"/>
  <c r="J23" i="6" s="1"/>
  <c r="AH23" i="6"/>
  <c r="AM22" i="6"/>
  <c r="G22" i="6" s="1"/>
  <c r="AR21" i="6"/>
  <c r="L21" i="6" s="1"/>
  <c r="AJ21" i="6"/>
  <c r="D21" i="6" s="1"/>
  <c r="AN20" i="6"/>
  <c r="H20" i="6" s="1"/>
  <c r="AR19" i="6"/>
  <c r="L19" i="6" s="1"/>
  <c r="AJ19" i="6"/>
  <c r="D19" i="6" s="1"/>
  <c r="AN18" i="6"/>
  <c r="H18" i="6" s="1"/>
  <c r="AR17" i="6"/>
  <c r="L17" i="6" s="1"/>
  <c r="AH17" i="6"/>
  <c r="AM16" i="6"/>
  <c r="G16" i="6" s="1"/>
  <c r="AR15" i="6"/>
  <c r="L15" i="6" s="1"/>
  <c r="AI15" i="6"/>
  <c r="C15" i="6" s="1"/>
  <c r="AK14" i="6"/>
  <c r="E14" i="6" s="1"/>
  <c r="AP13" i="6"/>
  <c r="J13" i="6" s="1"/>
  <c r="AH13" i="6"/>
  <c r="AM12" i="6"/>
  <c r="G12" i="6" s="1"/>
  <c r="AR11" i="6"/>
  <c r="L11" i="6" s="1"/>
  <c r="AJ11" i="6"/>
  <c r="D11" i="6" s="1"/>
  <c r="AO10" i="6"/>
  <c r="I10" i="6" s="1"/>
  <c r="AR9" i="6"/>
  <c r="L9" i="6" s="1"/>
  <c r="AJ9" i="6"/>
  <c r="D9" i="6" s="1"/>
  <c r="AO8" i="6"/>
  <c r="I8" i="6" s="1"/>
  <c r="AT7" i="6"/>
  <c r="N7" i="6" s="1"/>
  <c r="AL7" i="6"/>
  <c r="F7" i="6" s="1"/>
  <c r="AQ6" i="6"/>
  <c r="K6" i="6" s="1"/>
  <c r="AI6" i="6"/>
  <c r="C6" i="6" s="1"/>
  <c r="AM5" i="6"/>
  <c r="G5" i="6" s="1"/>
  <c r="AP4" i="6"/>
  <c r="J4" i="6" s="1"/>
  <c r="AH22" i="6"/>
  <c r="AP16" i="6"/>
  <c r="J16" i="6" s="1"/>
  <c r="AK13" i="6"/>
  <c r="E13" i="6" s="1"/>
  <c r="AM9" i="6"/>
  <c r="G9" i="6" s="1"/>
  <c r="AT6" i="6"/>
  <c r="N6" i="6" s="1"/>
  <c r="AP30" i="6"/>
  <c r="J30" i="6" s="1"/>
  <c r="AH30" i="6"/>
  <c r="AM29" i="6"/>
  <c r="G29" i="6" s="1"/>
  <c r="AR28" i="6"/>
  <c r="L28" i="6" s="1"/>
  <c r="AJ28" i="6"/>
  <c r="D28" i="6" s="1"/>
  <c r="AN27" i="6"/>
  <c r="H27" i="6" s="1"/>
  <c r="AQ26" i="6"/>
  <c r="K26" i="6" s="1"/>
  <c r="AI26" i="6"/>
  <c r="C26" i="6" s="1"/>
  <c r="AN25" i="6"/>
  <c r="H25" i="6" s="1"/>
  <c r="AS24" i="6"/>
  <c r="M24" i="6" s="1"/>
  <c r="AJ24" i="6"/>
  <c r="D24" i="6" s="1"/>
  <c r="AO23" i="6"/>
  <c r="I23" i="6" s="1"/>
  <c r="AT22" i="6"/>
  <c r="N22" i="6" s="1"/>
  <c r="AL22" i="6"/>
  <c r="F22" i="6" s="1"/>
  <c r="AQ21" i="6"/>
  <c r="K21" i="6" s="1"/>
  <c r="AI21" i="6"/>
  <c r="C21" i="6" s="1"/>
  <c r="AM20" i="6"/>
  <c r="G20" i="6" s="1"/>
  <c r="AQ19" i="6"/>
  <c r="K19" i="6" s="1"/>
  <c r="AI19" i="6"/>
  <c r="C19" i="6" s="1"/>
  <c r="AM18" i="6"/>
  <c r="G18" i="6" s="1"/>
  <c r="AP17" i="6"/>
  <c r="J17" i="6" s="1"/>
  <c r="AT16" i="6"/>
  <c r="N16" i="6" s="1"/>
  <c r="AL16" i="6"/>
  <c r="F16" i="6" s="1"/>
  <c r="AQ15" i="6"/>
  <c r="K15" i="6" s="1"/>
  <c r="AT14" i="6"/>
  <c r="N14" i="6" s="1"/>
  <c r="AJ14" i="6"/>
  <c r="D14" i="6" s="1"/>
  <c r="AO13" i="6"/>
  <c r="I13" i="6" s="1"/>
  <c r="AT12" i="6"/>
  <c r="N12" i="6" s="1"/>
  <c r="AL12" i="6"/>
  <c r="F12" i="6" s="1"/>
  <c r="AQ11" i="6"/>
  <c r="K11" i="6" s="1"/>
  <c r="AI11" i="6"/>
  <c r="C11" i="6" s="1"/>
  <c r="AM10" i="6"/>
  <c r="G10" i="6" s="1"/>
  <c r="AQ9" i="6"/>
  <c r="K9" i="6" s="1"/>
  <c r="AI9" i="6"/>
  <c r="C9" i="6" s="1"/>
  <c r="AN8" i="6"/>
  <c r="H8" i="6" s="1"/>
  <c r="AS7" i="6"/>
  <c r="M7" i="6" s="1"/>
  <c r="AK7" i="6"/>
  <c r="E7" i="6" s="1"/>
  <c r="AP6" i="6"/>
  <c r="J6" i="6" s="1"/>
  <c r="AH6" i="6"/>
  <c r="AK5" i="6"/>
  <c r="E5" i="6" s="1"/>
  <c r="AO4" i="6"/>
  <c r="AM21" i="6"/>
  <c r="G21" i="6" s="1"/>
  <c r="AP12" i="6"/>
  <c r="J12" i="6" s="1"/>
  <c r="AQ5" i="6"/>
  <c r="K5" i="6" s="1"/>
  <c r="AO30" i="6"/>
  <c r="I30" i="6" s="1"/>
  <c r="AT29" i="6"/>
  <c r="N29" i="6" s="1"/>
  <c r="AL29" i="6"/>
  <c r="F29" i="6" s="1"/>
  <c r="AQ28" i="6"/>
  <c r="K28" i="6" s="1"/>
  <c r="AH28" i="6"/>
  <c r="AM27" i="6"/>
  <c r="G27" i="6" s="1"/>
  <c r="AP26" i="6"/>
  <c r="J26" i="6" s="1"/>
  <c r="AH26" i="6"/>
  <c r="AM25" i="6"/>
  <c r="G25" i="6" s="1"/>
  <c r="AR24" i="6"/>
  <c r="L24" i="6" s="1"/>
  <c r="AI24" i="6"/>
  <c r="C24" i="6" s="1"/>
  <c r="AN23" i="6"/>
  <c r="H23" i="6" s="1"/>
  <c r="AS22" i="6"/>
  <c r="M22" i="6" s="1"/>
  <c r="AK22" i="6"/>
  <c r="E22" i="6" s="1"/>
  <c r="AP21" i="6"/>
  <c r="J21" i="6" s="1"/>
  <c r="AH21" i="6"/>
  <c r="AL20" i="6"/>
  <c r="F20" i="6" s="1"/>
  <c r="AP19" i="6"/>
  <c r="J19" i="6" s="1"/>
  <c r="AH19" i="6"/>
  <c r="AL18" i="6"/>
  <c r="F18" i="6" s="1"/>
  <c r="AO17" i="6"/>
  <c r="I17" i="6" s="1"/>
  <c r="AS16" i="6"/>
  <c r="M16" i="6" s="1"/>
  <c r="AK16" i="6"/>
  <c r="E16" i="6" s="1"/>
  <c r="AP15" i="6"/>
  <c r="J15" i="6" s="1"/>
  <c r="AS14" i="6"/>
  <c r="M14" i="6" s="1"/>
  <c r="AI14" i="6"/>
  <c r="C14" i="6" s="1"/>
  <c r="AN13" i="6"/>
  <c r="H13" i="6" s="1"/>
  <c r="AS12" i="6"/>
  <c r="M12" i="6" s="1"/>
  <c r="AK12" i="6"/>
  <c r="E12" i="6" s="1"/>
  <c r="AP11" i="6"/>
  <c r="J11" i="6" s="1"/>
  <c r="AH11" i="6"/>
  <c r="AL10" i="6"/>
  <c r="F10" i="6" s="1"/>
  <c r="AP9" i="6"/>
  <c r="J9" i="6" s="1"/>
  <c r="AH9" i="6"/>
  <c r="AM8" i="6"/>
  <c r="G8" i="6" s="1"/>
  <c r="AR7" i="6"/>
  <c r="L7" i="6" s="1"/>
  <c r="AJ7" i="6"/>
  <c r="D7" i="6" s="1"/>
  <c r="AO6" i="6"/>
  <c r="I6" i="6" s="1"/>
  <c r="AT5" i="6"/>
  <c r="N5" i="6" s="1"/>
  <c r="AJ5" i="6"/>
  <c r="AN4" i="6"/>
  <c r="AP22" i="6"/>
  <c r="J22" i="6" s="1"/>
  <c r="AR18" i="6"/>
  <c r="L18" i="6" s="1"/>
  <c r="AO14" i="6"/>
  <c r="I14" i="6" s="1"/>
  <c r="AR10" i="6"/>
  <c r="L10" i="6" s="1"/>
  <c r="AN30" i="6"/>
  <c r="H30" i="6" s="1"/>
  <c r="AS29" i="6"/>
  <c r="M29" i="6" s="1"/>
  <c r="AK29" i="6"/>
  <c r="E29" i="6" s="1"/>
  <c r="AP28" i="6"/>
  <c r="J28" i="6" s="1"/>
  <c r="AT27" i="6"/>
  <c r="N27" i="6" s="1"/>
  <c r="AL27" i="6"/>
  <c r="F27" i="6" s="1"/>
  <c r="AO26" i="6"/>
  <c r="I26" i="6" s="1"/>
  <c r="AT25" i="6"/>
  <c r="N25" i="6" s="1"/>
  <c r="AL25" i="6"/>
  <c r="F25" i="6" s="1"/>
  <c r="AQ24" i="6"/>
  <c r="K24" i="6" s="1"/>
  <c r="AH24" i="6"/>
  <c r="B24" i="6" s="1"/>
  <c r="AM23" i="6"/>
  <c r="G23" i="6" s="1"/>
  <c r="AR22" i="6"/>
  <c r="L22" i="6" s="1"/>
  <c r="AJ22" i="6"/>
  <c r="D22" i="6" s="1"/>
  <c r="AO21" i="6"/>
  <c r="I21" i="6" s="1"/>
  <c r="AT20" i="6"/>
  <c r="N20" i="6" s="1"/>
  <c r="AJ20" i="6"/>
  <c r="D20" i="6" s="1"/>
  <c r="AO19" i="6"/>
  <c r="I19" i="6" s="1"/>
  <c r="AT18" i="6"/>
  <c r="N18" i="6" s="1"/>
  <c r="AJ18" i="6"/>
  <c r="D18" i="6" s="1"/>
  <c r="AN17" i="6"/>
  <c r="H17" i="6" s="1"/>
  <c r="AR16" i="6"/>
  <c r="L16" i="6" s="1"/>
  <c r="AJ16" i="6"/>
  <c r="D16" i="6" s="1"/>
  <c r="AO15" i="6"/>
  <c r="I15" i="6" s="1"/>
  <c r="AR14" i="6"/>
  <c r="L14" i="6" s="1"/>
  <c r="AH14" i="6"/>
  <c r="AM13" i="6"/>
  <c r="G13" i="6" s="1"/>
  <c r="AR12" i="6"/>
  <c r="L12" i="6" s="1"/>
  <c r="AJ12" i="6"/>
  <c r="D12" i="6" s="1"/>
  <c r="AO11" i="6"/>
  <c r="I11" i="6" s="1"/>
  <c r="AT10" i="6"/>
  <c r="N10" i="6" s="1"/>
  <c r="AK10" i="6"/>
  <c r="E10" i="6" s="1"/>
  <c r="AO9" i="6"/>
  <c r="I9" i="6" s="1"/>
  <c r="AT8" i="6"/>
  <c r="N8" i="6" s="1"/>
  <c r="AL8" i="6"/>
  <c r="F8" i="6" s="1"/>
  <c r="AQ7" i="6"/>
  <c r="K7" i="6" s="1"/>
  <c r="AI7" i="6"/>
  <c r="C7" i="6" s="1"/>
  <c r="AN6" i="6"/>
  <c r="H6" i="6" s="1"/>
  <c r="AS5" i="6"/>
  <c r="M5" i="6" s="1"/>
  <c r="AI5" i="6"/>
  <c r="C5" i="6" s="1"/>
  <c r="AM4" i="6"/>
  <c r="AK23" i="6"/>
  <c r="E23" i="6" s="1"/>
  <c r="AM19" i="6"/>
  <c r="G19" i="6" s="1"/>
  <c r="AM15" i="6"/>
  <c r="G15" i="6" s="1"/>
  <c r="AM11" i="6"/>
  <c r="G11" i="6" s="1"/>
  <c r="AO7" i="6"/>
  <c r="I7" i="6" s="1"/>
  <c r="AJ4" i="6"/>
  <c r="D4" i="6" s="1"/>
  <c r="AM30" i="6"/>
  <c r="G30" i="6" s="1"/>
  <c r="AR29" i="6"/>
  <c r="L29" i="6" s="1"/>
  <c r="AJ29" i="6"/>
  <c r="D29" i="6" s="1"/>
  <c r="AO28" i="6"/>
  <c r="I28" i="6" s="1"/>
  <c r="AS27" i="6"/>
  <c r="M27" i="6" s="1"/>
  <c r="AJ27" i="6"/>
  <c r="D27" i="6" s="1"/>
  <c r="AN26" i="6"/>
  <c r="H26" i="6" s="1"/>
  <c r="AS25" i="6"/>
  <c r="M25" i="6" s="1"/>
  <c r="AK25" i="6"/>
  <c r="E25" i="6" s="1"/>
  <c r="AP24" i="6"/>
  <c r="J24" i="6" s="1"/>
  <c r="AT23" i="6"/>
  <c r="N23" i="6" s="1"/>
  <c r="AL23" i="6"/>
  <c r="F23" i="6" s="1"/>
  <c r="AQ22" i="6"/>
  <c r="K22" i="6" s="1"/>
  <c r="AI22" i="6"/>
  <c r="C22" i="6" s="1"/>
  <c r="AN21" i="6"/>
  <c r="H21" i="6" s="1"/>
  <c r="AS20" i="6"/>
  <c r="M20" i="6" s="1"/>
  <c r="AI20" i="6"/>
  <c r="C20" i="6" s="1"/>
  <c r="AN19" i="6"/>
  <c r="H19" i="6" s="1"/>
  <c r="AS18" i="6"/>
  <c r="M18" i="6" s="1"/>
  <c r="AI18" i="6"/>
  <c r="C18" i="6" s="1"/>
  <c r="AM17" i="6"/>
  <c r="G17" i="6" s="1"/>
  <c r="AQ16" i="6"/>
  <c r="K16" i="6" s="1"/>
  <c r="AI16" i="6"/>
  <c r="C16" i="6" s="1"/>
  <c r="AN15" i="6"/>
  <c r="H15" i="6" s="1"/>
  <c r="AQ14" i="6"/>
  <c r="K14" i="6" s="1"/>
  <c r="AT13" i="6"/>
  <c r="N13" i="6" s="1"/>
  <c r="AL13" i="6"/>
  <c r="F13" i="6" s="1"/>
  <c r="AQ12" i="6"/>
  <c r="K12" i="6" s="1"/>
  <c r="AI12" i="6"/>
  <c r="C12" i="6" s="1"/>
  <c r="AN11" i="6"/>
  <c r="H11" i="6" s="1"/>
  <c r="AS10" i="6"/>
  <c r="M10" i="6" s="1"/>
  <c r="AI10" i="6"/>
  <c r="C10" i="6" s="1"/>
  <c r="AN9" i="6"/>
  <c r="H9" i="6" s="1"/>
  <c r="AS8" i="6"/>
  <c r="M8" i="6" s="1"/>
  <c r="AK8" i="6"/>
  <c r="E8" i="6" s="1"/>
  <c r="AP7" i="6"/>
  <c r="J7" i="6" s="1"/>
  <c r="AH7" i="6"/>
  <c r="AM6" i="6"/>
  <c r="G6" i="6" s="1"/>
  <c r="AR5" i="6"/>
  <c r="L5" i="6" s="1"/>
  <c r="AH5" i="6"/>
  <c r="AK4" i="6"/>
  <c r="E4" i="6" s="1"/>
  <c r="AT30" i="6"/>
  <c r="N30" i="6" s="1"/>
  <c r="AL30" i="6"/>
  <c r="F30" i="6" s="1"/>
  <c r="AQ29" i="6"/>
  <c r="K29" i="6" s="1"/>
  <c r="AI29" i="6"/>
  <c r="C29" i="6" s="1"/>
  <c r="AN28" i="6"/>
  <c r="H28" i="6" s="1"/>
  <c r="AR27" i="6"/>
  <c r="L27" i="6" s="1"/>
  <c r="AH27" i="6"/>
  <c r="AM26" i="6"/>
  <c r="G26" i="6" s="1"/>
  <c r="AR25" i="6"/>
  <c r="L25" i="6" s="1"/>
  <c r="AJ25" i="6"/>
  <c r="D25" i="6" s="1"/>
  <c r="AS23" i="6"/>
  <c r="M23" i="6" s="1"/>
  <c r="AH20" i="6"/>
  <c r="AH18" i="6"/>
  <c r="AH16" i="6"/>
  <c r="AH12" i="6"/>
  <c r="AR8" i="6"/>
  <c r="L8" i="6" s="1"/>
  <c r="AT4" i="6"/>
  <c r="AL17" i="6"/>
  <c r="F17" i="6" s="1"/>
  <c r="AH15" i="6"/>
  <c r="AQ17" i="6"/>
  <c r="AI28" i="6"/>
  <c r="C28" i="6" s="1"/>
  <c r="AJ15" i="6"/>
  <c r="D15" i="6" s="1"/>
  <c r="AK20" i="6"/>
  <c r="AQ20" i="6"/>
  <c r="AL14" i="6"/>
  <c r="AQ18" i="6"/>
  <c r="AQ4" i="6"/>
  <c r="K17" i="6"/>
  <c r="AL4" i="6"/>
  <c r="AI27" i="6"/>
  <c r="AK18" i="6"/>
  <c r="AN5" i="6"/>
  <c r="AP14" i="6"/>
  <c r="AK27" i="6"/>
  <c r="AO24" i="6"/>
  <c r="AH35" i="6"/>
  <c r="B35" i="6" s="1"/>
  <c r="R35" i="6" s="1"/>
  <c r="AT61" i="6"/>
  <c r="N61" i="6" s="1"/>
  <c r="AD61" i="6" s="1"/>
  <c r="AL61" i="6"/>
  <c r="F61" i="6" s="1"/>
  <c r="V61" i="6" s="1"/>
  <c r="AQ60" i="6"/>
  <c r="K60" i="6" s="1"/>
  <c r="AA60" i="6" s="1"/>
  <c r="AI60" i="6"/>
  <c r="C60" i="6" s="1"/>
  <c r="S60" i="6" s="1"/>
  <c r="AN59" i="6"/>
  <c r="H59" i="6" s="1"/>
  <c r="X59" i="6" s="1"/>
  <c r="AS58" i="6"/>
  <c r="M58" i="6" s="1"/>
  <c r="AC58" i="6" s="1"/>
  <c r="AK58" i="6"/>
  <c r="AP57" i="6"/>
  <c r="J57" i="6" s="1"/>
  <c r="Z57" i="6" s="1"/>
  <c r="AH57" i="6"/>
  <c r="B57" i="6" s="1"/>
  <c r="R57" i="6" s="1"/>
  <c r="AM56" i="6"/>
  <c r="G56" i="6" s="1"/>
  <c r="W56" i="6" s="1"/>
  <c r="AR55" i="6"/>
  <c r="L55" i="6" s="1"/>
  <c r="AB55" i="6" s="1"/>
  <c r="AJ55" i="6"/>
  <c r="AO54" i="6"/>
  <c r="I54" i="6" s="1"/>
  <c r="Y54" i="6" s="1"/>
  <c r="AT53" i="6"/>
  <c r="N53" i="6" s="1"/>
  <c r="AD53" i="6" s="1"/>
  <c r="AL53" i="6"/>
  <c r="F53" i="6" s="1"/>
  <c r="V53" i="6" s="1"/>
  <c r="AQ52" i="6"/>
  <c r="K52" i="6" s="1"/>
  <c r="AA52" i="6" s="1"/>
  <c r="AI52" i="6"/>
  <c r="C52" i="6" s="1"/>
  <c r="S52" i="6" s="1"/>
  <c r="AN51" i="6"/>
  <c r="H51" i="6" s="1"/>
  <c r="X51" i="6" s="1"/>
  <c r="AS50" i="6"/>
  <c r="M50" i="6" s="1"/>
  <c r="AC50" i="6" s="1"/>
  <c r="AK50" i="6"/>
  <c r="E50" i="6" s="1"/>
  <c r="U50" i="6" s="1"/>
  <c r="AP49" i="6"/>
  <c r="J49" i="6" s="1"/>
  <c r="Z49" i="6" s="1"/>
  <c r="AH49" i="6"/>
  <c r="B49" i="6" s="1"/>
  <c r="R49" i="6" s="1"/>
  <c r="AM48" i="6"/>
  <c r="G48" i="6" s="1"/>
  <c r="W48" i="6" s="1"/>
  <c r="AR47" i="6"/>
  <c r="L47" i="6" s="1"/>
  <c r="AB47" i="6" s="1"/>
  <c r="AJ47" i="6"/>
  <c r="D47" i="6" s="1"/>
  <c r="T47" i="6" s="1"/>
  <c r="AO46" i="6"/>
  <c r="I46" i="6" s="1"/>
  <c r="Y46" i="6" s="1"/>
  <c r="AT45" i="6"/>
  <c r="N45" i="6" s="1"/>
  <c r="AD45" i="6" s="1"/>
  <c r="AL45" i="6"/>
  <c r="AQ44" i="6"/>
  <c r="K44" i="6" s="1"/>
  <c r="AA44" i="6" s="1"/>
  <c r="AI44" i="6"/>
  <c r="C44" i="6" s="1"/>
  <c r="S44" i="6" s="1"/>
  <c r="AN43" i="6"/>
  <c r="H43" i="6" s="1"/>
  <c r="X43" i="6" s="1"/>
  <c r="AS42" i="6"/>
  <c r="M42" i="6" s="1"/>
  <c r="AC42" i="6" s="1"/>
  <c r="AK42" i="6"/>
  <c r="E42" i="6" s="1"/>
  <c r="U42" i="6" s="1"/>
  <c r="AP41" i="6"/>
  <c r="J41" i="6" s="1"/>
  <c r="Z41" i="6" s="1"/>
  <c r="AH41" i="6"/>
  <c r="B41" i="6" s="1"/>
  <c r="R41" i="6" s="1"/>
  <c r="AM40" i="6"/>
  <c r="G40" i="6" s="1"/>
  <c r="W40" i="6" s="1"/>
  <c r="AR39" i="6"/>
  <c r="L39" i="6" s="1"/>
  <c r="AB39" i="6" s="1"/>
  <c r="AO38" i="6"/>
  <c r="I38" i="6" s="1"/>
  <c r="Y38" i="6" s="1"/>
  <c r="AT37" i="6"/>
  <c r="N37" i="6" s="1"/>
  <c r="AD37" i="6" s="1"/>
  <c r="AL37" i="6"/>
  <c r="F37" i="6" s="1"/>
  <c r="V37" i="6" s="1"/>
  <c r="AQ36" i="6"/>
  <c r="K36" i="6" s="1"/>
  <c r="AA36" i="6" s="1"/>
  <c r="AI36" i="6"/>
  <c r="C36" i="6" s="1"/>
  <c r="S36" i="6" s="1"/>
  <c r="AN35" i="6"/>
  <c r="H35" i="6" s="1"/>
  <c r="X35" i="6" s="1"/>
  <c r="AS45" i="6"/>
  <c r="M45" i="6" s="1"/>
  <c r="AC45" i="6" s="1"/>
  <c r="AN38" i="6"/>
  <c r="H38" i="6" s="1"/>
  <c r="X38" i="6" s="1"/>
  <c r="AH36" i="6"/>
  <c r="B36" i="6" s="1"/>
  <c r="R36" i="6" s="1"/>
  <c r="AS61" i="6"/>
  <c r="M61" i="6" s="1"/>
  <c r="AC61" i="6" s="1"/>
  <c r="AK61" i="6"/>
  <c r="E61" i="6" s="1"/>
  <c r="U61" i="6" s="1"/>
  <c r="AP60" i="6"/>
  <c r="J60" i="6" s="1"/>
  <c r="Z60" i="6" s="1"/>
  <c r="AH60" i="6"/>
  <c r="B60" i="6" s="1"/>
  <c r="R60" i="6" s="1"/>
  <c r="AM59" i="6"/>
  <c r="G59" i="6" s="1"/>
  <c r="W59" i="6" s="1"/>
  <c r="AR58" i="6"/>
  <c r="L58" i="6" s="1"/>
  <c r="AB58" i="6" s="1"/>
  <c r="AJ58" i="6"/>
  <c r="D58" i="6" s="1"/>
  <c r="T58" i="6" s="1"/>
  <c r="AO57" i="6"/>
  <c r="I57" i="6" s="1"/>
  <c r="Y57" i="6" s="1"/>
  <c r="AT56" i="6"/>
  <c r="N56" i="6" s="1"/>
  <c r="AD56" i="6" s="1"/>
  <c r="AL56" i="6"/>
  <c r="F56" i="6" s="1"/>
  <c r="V56" i="6" s="1"/>
  <c r="AQ55" i="6"/>
  <c r="K55" i="6" s="1"/>
  <c r="AA55" i="6" s="1"/>
  <c r="AI55" i="6"/>
  <c r="C55" i="6" s="1"/>
  <c r="S55" i="6" s="1"/>
  <c r="AN54" i="6"/>
  <c r="H54" i="6" s="1"/>
  <c r="X54" i="6" s="1"/>
  <c r="AS53" i="6"/>
  <c r="M53" i="6" s="1"/>
  <c r="AC53" i="6" s="1"/>
  <c r="AK53" i="6"/>
  <c r="E53" i="6" s="1"/>
  <c r="U53" i="6" s="1"/>
  <c r="AP52" i="6"/>
  <c r="J52" i="6" s="1"/>
  <c r="Z52" i="6" s="1"/>
  <c r="AH52" i="6"/>
  <c r="B52" i="6" s="1"/>
  <c r="R52" i="6" s="1"/>
  <c r="AM51" i="6"/>
  <c r="G51" i="6" s="1"/>
  <c r="W51" i="6" s="1"/>
  <c r="AR50" i="6"/>
  <c r="L50" i="6" s="1"/>
  <c r="AB50" i="6" s="1"/>
  <c r="AJ50" i="6"/>
  <c r="D50" i="6" s="1"/>
  <c r="T50" i="6" s="1"/>
  <c r="AO49" i="6"/>
  <c r="I49" i="6" s="1"/>
  <c r="Y49" i="6" s="1"/>
  <c r="AT48" i="6"/>
  <c r="N48" i="6" s="1"/>
  <c r="AD48" i="6" s="1"/>
  <c r="AN46" i="6"/>
  <c r="H46" i="6" s="1"/>
  <c r="X46" i="6" s="1"/>
  <c r="AK45" i="6"/>
  <c r="E45" i="6" s="1"/>
  <c r="U45" i="6" s="1"/>
  <c r="AH44" i="6"/>
  <c r="B44" i="6" s="1"/>
  <c r="R44" i="6" s="1"/>
  <c r="AM43" i="6"/>
  <c r="G43" i="6" s="1"/>
  <c r="W43" i="6" s="1"/>
  <c r="AR42" i="6"/>
  <c r="L42" i="6" s="1"/>
  <c r="AB42" i="6" s="1"/>
  <c r="AJ42" i="6"/>
  <c r="D42" i="6" s="1"/>
  <c r="T42" i="6" s="1"/>
  <c r="AO41" i="6"/>
  <c r="I41" i="6" s="1"/>
  <c r="Y41" i="6" s="1"/>
  <c r="AT40" i="6"/>
  <c r="N40" i="6" s="1"/>
  <c r="AD40" i="6" s="1"/>
  <c r="AK37" i="6"/>
  <c r="E37" i="6" s="1"/>
  <c r="U37" i="6" s="1"/>
  <c r="AR61" i="6"/>
  <c r="L61" i="6" s="1"/>
  <c r="AB61" i="6" s="1"/>
  <c r="AJ61" i="6"/>
  <c r="D61" i="6" s="1"/>
  <c r="T61" i="6" s="1"/>
  <c r="AO60" i="6"/>
  <c r="I60" i="6" s="1"/>
  <c r="Y60" i="6" s="1"/>
  <c r="AT59" i="6"/>
  <c r="N59" i="6" s="1"/>
  <c r="AD59" i="6" s="1"/>
  <c r="AL59" i="6"/>
  <c r="F59" i="6" s="1"/>
  <c r="V59" i="6" s="1"/>
  <c r="AQ58" i="6"/>
  <c r="AI58" i="6"/>
  <c r="AN57" i="6"/>
  <c r="H57" i="6" s="1"/>
  <c r="X57" i="6" s="1"/>
  <c r="AS56" i="6"/>
  <c r="M56" i="6" s="1"/>
  <c r="AC56" i="6" s="1"/>
  <c r="AK56" i="6"/>
  <c r="E56" i="6" s="1"/>
  <c r="U56" i="6" s="1"/>
  <c r="AP55" i="6"/>
  <c r="J55" i="6" s="1"/>
  <c r="Z55" i="6" s="1"/>
  <c r="AH55" i="6"/>
  <c r="B55" i="6" s="1"/>
  <c r="R55" i="6" s="1"/>
  <c r="AM54" i="6"/>
  <c r="G54" i="6" s="1"/>
  <c r="W54" i="6" s="1"/>
  <c r="AR53" i="6"/>
  <c r="L53" i="6" s="1"/>
  <c r="AB53" i="6" s="1"/>
  <c r="AJ53" i="6"/>
  <c r="D53" i="6" s="1"/>
  <c r="T53" i="6" s="1"/>
  <c r="AO52" i="6"/>
  <c r="I52" i="6" s="1"/>
  <c r="Y52" i="6" s="1"/>
  <c r="AT51" i="6"/>
  <c r="N51" i="6" s="1"/>
  <c r="AD51" i="6" s="1"/>
  <c r="AL51" i="6"/>
  <c r="F51" i="6" s="1"/>
  <c r="V51" i="6" s="1"/>
  <c r="AQ50" i="6"/>
  <c r="K50" i="6" s="1"/>
  <c r="AA50" i="6" s="1"/>
  <c r="AI50" i="6"/>
  <c r="C50" i="6" s="1"/>
  <c r="S50" i="6" s="1"/>
  <c r="AN49" i="6"/>
  <c r="H49" i="6" s="1"/>
  <c r="X49" i="6" s="1"/>
  <c r="AS48" i="6"/>
  <c r="M48" i="6" s="1"/>
  <c r="AC48" i="6" s="1"/>
  <c r="AK48" i="6"/>
  <c r="E48" i="6" s="1"/>
  <c r="U48" i="6" s="1"/>
  <c r="AP47" i="6"/>
  <c r="J47" i="6" s="1"/>
  <c r="Z47" i="6" s="1"/>
  <c r="AH47" i="6"/>
  <c r="B47" i="6" s="1"/>
  <c r="R47" i="6" s="1"/>
  <c r="AM46" i="6"/>
  <c r="G46" i="6" s="1"/>
  <c r="W46" i="6" s="1"/>
  <c r="AR45" i="6"/>
  <c r="L45" i="6" s="1"/>
  <c r="AB45" i="6" s="1"/>
  <c r="AJ45" i="6"/>
  <c r="D45" i="6" s="1"/>
  <c r="T45" i="6" s="1"/>
  <c r="AO44" i="6"/>
  <c r="I44" i="6" s="1"/>
  <c r="Y44" i="6" s="1"/>
  <c r="AT43" i="6"/>
  <c r="N43" i="6" s="1"/>
  <c r="AD43" i="6" s="1"/>
  <c r="AL43" i="6"/>
  <c r="F43" i="6" s="1"/>
  <c r="V43" i="6" s="1"/>
  <c r="AQ42" i="6"/>
  <c r="AI42" i="6"/>
  <c r="C42" i="6" s="1"/>
  <c r="S42" i="6" s="1"/>
  <c r="AS40" i="6"/>
  <c r="M40" i="6" s="1"/>
  <c r="AC40" i="6" s="1"/>
  <c r="AK40" i="6"/>
  <c r="E40" i="6" s="1"/>
  <c r="U40" i="6" s="1"/>
  <c r="AP39" i="6"/>
  <c r="J39" i="6" s="1"/>
  <c r="Z39" i="6" s="1"/>
  <c r="AH39" i="6"/>
  <c r="B39" i="6" s="1"/>
  <c r="R39" i="6" s="1"/>
  <c r="AM38" i="6"/>
  <c r="G38" i="6" s="1"/>
  <c r="W38" i="6" s="1"/>
  <c r="AR37" i="6"/>
  <c r="L37" i="6" s="1"/>
  <c r="AB37" i="6" s="1"/>
  <c r="AJ37" i="6"/>
  <c r="AO36" i="6"/>
  <c r="I36" i="6" s="1"/>
  <c r="Y36" i="6" s="1"/>
  <c r="AT35" i="6"/>
  <c r="N35" i="6" s="1"/>
  <c r="AD35" i="6" s="1"/>
  <c r="AL35" i="6"/>
  <c r="AJ56" i="6"/>
  <c r="D56" i="6" s="1"/>
  <c r="T56" i="6" s="1"/>
  <c r="AH50" i="6"/>
  <c r="B50" i="6" s="1"/>
  <c r="R50" i="6" s="1"/>
  <c r="AR48" i="6"/>
  <c r="L48" i="6" s="1"/>
  <c r="AB48" i="6" s="1"/>
  <c r="AO47" i="6"/>
  <c r="I47" i="6" s="1"/>
  <c r="Y47" i="6" s="1"/>
  <c r="AT46" i="6"/>
  <c r="N46" i="6" s="1"/>
  <c r="AD46" i="6" s="1"/>
  <c r="AQ45" i="6"/>
  <c r="K45" i="6" s="1"/>
  <c r="AA45" i="6" s="1"/>
  <c r="AI45" i="6"/>
  <c r="C45" i="6" s="1"/>
  <c r="S45" i="6" s="1"/>
  <c r="AS43" i="6"/>
  <c r="M43" i="6" s="1"/>
  <c r="AC43" i="6" s="1"/>
  <c r="AP42" i="6"/>
  <c r="J42" i="6" s="1"/>
  <c r="Z42" i="6" s="1"/>
  <c r="AH42" i="6"/>
  <c r="B42" i="6" s="1"/>
  <c r="R42" i="6" s="1"/>
  <c r="AR40" i="6"/>
  <c r="L40" i="6" s="1"/>
  <c r="AB40" i="6" s="1"/>
  <c r="AJ40" i="6"/>
  <c r="D40" i="6" s="1"/>
  <c r="T40" i="6" s="1"/>
  <c r="AT38" i="6"/>
  <c r="N38" i="6" s="1"/>
  <c r="AD38" i="6" s="1"/>
  <c r="AQ37" i="6"/>
  <c r="K37" i="6" s="1"/>
  <c r="AA37" i="6" s="1"/>
  <c r="AI37" i="6"/>
  <c r="C37" i="6" s="1"/>
  <c r="S37" i="6" s="1"/>
  <c r="AS35" i="6"/>
  <c r="M35" i="6" s="1"/>
  <c r="AC35" i="6" s="1"/>
  <c r="AQ61" i="6"/>
  <c r="K61" i="6" s="1"/>
  <c r="AA61" i="6" s="1"/>
  <c r="AI61" i="6"/>
  <c r="C61" i="6" s="1"/>
  <c r="S61" i="6" s="1"/>
  <c r="AN60" i="6"/>
  <c r="H60" i="6" s="1"/>
  <c r="X60" i="6" s="1"/>
  <c r="AS59" i="6"/>
  <c r="M59" i="6" s="1"/>
  <c r="AC59" i="6" s="1"/>
  <c r="AK59" i="6"/>
  <c r="AP58" i="6"/>
  <c r="J58" i="6" s="1"/>
  <c r="Z58" i="6" s="1"/>
  <c r="AH58" i="6"/>
  <c r="B58" i="6" s="1"/>
  <c r="R58" i="6" s="1"/>
  <c r="AM57" i="6"/>
  <c r="G57" i="6" s="1"/>
  <c r="W57" i="6" s="1"/>
  <c r="AR56" i="6"/>
  <c r="L56" i="6" s="1"/>
  <c r="AB56" i="6" s="1"/>
  <c r="AO55" i="6"/>
  <c r="AT54" i="6"/>
  <c r="N54" i="6" s="1"/>
  <c r="AD54" i="6" s="1"/>
  <c r="AL54" i="6"/>
  <c r="F54" i="6" s="1"/>
  <c r="V54" i="6" s="1"/>
  <c r="AQ53" i="6"/>
  <c r="K53" i="6" s="1"/>
  <c r="AA53" i="6" s="1"/>
  <c r="AI53" i="6"/>
  <c r="C53" i="6" s="1"/>
  <c r="S53" i="6" s="1"/>
  <c r="AN52" i="6"/>
  <c r="H52" i="6" s="1"/>
  <c r="X52" i="6" s="1"/>
  <c r="AS51" i="6"/>
  <c r="M51" i="6" s="1"/>
  <c r="AC51" i="6" s="1"/>
  <c r="AK51" i="6"/>
  <c r="AP50" i="6"/>
  <c r="J50" i="6" s="1"/>
  <c r="Z50" i="6" s="1"/>
  <c r="AM49" i="6"/>
  <c r="G49" i="6" s="1"/>
  <c r="W49" i="6" s="1"/>
  <c r="AJ48" i="6"/>
  <c r="D48" i="6" s="1"/>
  <c r="T48" i="6" s="1"/>
  <c r="AL46" i="6"/>
  <c r="F46" i="6" s="1"/>
  <c r="V46" i="6" s="1"/>
  <c r="AN44" i="6"/>
  <c r="H44" i="6" s="1"/>
  <c r="X44" i="6" s="1"/>
  <c r="AK43" i="6"/>
  <c r="E43" i="6" s="1"/>
  <c r="U43" i="6" s="1"/>
  <c r="AM41" i="6"/>
  <c r="G41" i="6" s="1"/>
  <c r="W41" i="6" s="1"/>
  <c r="AO39" i="6"/>
  <c r="I39" i="6" s="1"/>
  <c r="Y39" i="6" s="1"/>
  <c r="AL38" i="6"/>
  <c r="F38" i="6" s="1"/>
  <c r="V38" i="6" s="1"/>
  <c r="AN36" i="6"/>
  <c r="AK35" i="6"/>
  <c r="E35" i="6" s="1"/>
  <c r="U35" i="6" s="1"/>
  <c r="AP61" i="6"/>
  <c r="J61" i="6" s="1"/>
  <c r="Z61" i="6" s="1"/>
  <c r="AH61" i="6"/>
  <c r="B61" i="6" s="1"/>
  <c r="R61" i="6" s="1"/>
  <c r="AM60" i="6"/>
  <c r="G60" i="6" s="1"/>
  <c r="W60" i="6" s="1"/>
  <c r="AR59" i="6"/>
  <c r="L59" i="6" s="1"/>
  <c r="AB59" i="6" s="1"/>
  <c r="AJ59" i="6"/>
  <c r="D59" i="6" s="1"/>
  <c r="T59" i="6" s="1"/>
  <c r="AO58" i="6"/>
  <c r="I58" i="6" s="1"/>
  <c r="Y58" i="6" s="1"/>
  <c r="AT57" i="6"/>
  <c r="N57" i="6" s="1"/>
  <c r="AD57" i="6" s="1"/>
  <c r="AL57" i="6"/>
  <c r="F57" i="6" s="1"/>
  <c r="V57" i="6" s="1"/>
  <c r="AQ56" i="6"/>
  <c r="K56" i="6" s="1"/>
  <c r="AA56" i="6" s="1"/>
  <c r="AI56" i="6"/>
  <c r="C56" i="6" s="1"/>
  <c r="S56" i="6" s="1"/>
  <c r="AN55" i="6"/>
  <c r="H55" i="6" s="1"/>
  <c r="X55" i="6" s="1"/>
  <c r="AS54" i="6"/>
  <c r="M54" i="6" s="1"/>
  <c r="AC54" i="6" s="1"/>
  <c r="AK54" i="6"/>
  <c r="E54" i="6" s="1"/>
  <c r="U54" i="6" s="1"/>
  <c r="AP53" i="6"/>
  <c r="J53" i="6" s="1"/>
  <c r="Z53" i="6" s="1"/>
  <c r="AH53" i="6"/>
  <c r="B53" i="6" s="1"/>
  <c r="R53" i="6" s="1"/>
  <c r="AM52" i="6"/>
  <c r="G52" i="6" s="1"/>
  <c r="W52" i="6" s="1"/>
  <c r="AR51" i="6"/>
  <c r="L51" i="6" s="1"/>
  <c r="AB51" i="6" s="1"/>
  <c r="AJ51" i="6"/>
  <c r="D51" i="6" s="1"/>
  <c r="T51" i="6" s="1"/>
  <c r="AO50" i="6"/>
  <c r="I50" i="6" s="1"/>
  <c r="Y50" i="6" s="1"/>
  <c r="AT49" i="6"/>
  <c r="N49" i="6" s="1"/>
  <c r="AD49" i="6" s="1"/>
  <c r="AL49" i="6"/>
  <c r="F49" i="6" s="1"/>
  <c r="V49" i="6" s="1"/>
  <c r="AQ48" i="6"/>
  <c r="AI48" i="6"/>
  <c r="C48" i="6" s="1"/>
  <c r="S48" i="6" s="1"/>
  <c r="AN47" i="6"/>
  <c r="H47" i="6" s="1"/>
  <c r="X47" i="6" s="1"/>
  <c r="AS46" i="6"/>
  <c r="M46" i="6" s="1"/>
  <c r="AC46" i="6" s="1"/>
  <c r="AK46" i="6"/>
  <c r="E46" i="6" s="1"/>
  <c r="U46" i="6" s="1"/>
  <c r="AP45" i="6"/>
  <c r="AH45" i="6"/>
  <c r="B45" i="6" s="1"/>
  <c r="R45" i="6" s="1"/>
  <c r="AM44" i="6"/>
  <c r="G44" i="6" s="1"/>
  <c r="W44" i="6" s="1"/>
  <c r="AR43" i="6"/>
  <c r="L43" i="6" s="1"/>
  <c r="AB43" i="6" s="1"/>
  <c r="AJ43" i="6"/>
  <c r="D43" i="6" s="1"/>
  <c r="T43" i="6" s="1"/>
  <c r="AO42" i="6"/>
  <c r="I42" i="6" s="1"/>
  <c r="Y42" i="6" s="1"/>
  <c r="AT41" i="6"/>
  <c r="N41" i="6" s="1"/>
  <c r="AD41" i="6" s="1"/>
  <c r="AL41" i="6"/>
  <c r="F41" i="6" s="1"/>
  <c r="V41" i="6" s="1"/>
  <c r="AQ40" i="6"/>
  <c r="K40" i="6" s="1"/>
  <c r="AA40" i="6" s="1"/>
  <c r="AI40" i="6"/>
  <c r="C40" i="6" s="1"/>
  <c r="S40" i="6" s="1"/>
  <c r="AN39" i="6"/>
  <c r="H39" i="6" s="1"/>
  <c r="X39" i="6" s="1"/>
  <c r="AS38" i="6"/>
  <c r="M38" i="6" s="1"/>
  <c r="AC38" i="6" s="1"/>
  <c r="AK38" i="6"/>
  <c r="E38" i="6" s="1"/>
  <c r="U38" i="6" s="1"/>
  <c r="AP37" i="6"/>
  <c r="J37" i="6" s="1"/>
  <c r="Z37" i="6" s="1"/>
  <c r="AH37" i="6"/>
  <c r="B37" i="6" s="1"/>
  <c r="R37" i="6" s="1"/>
  <c r="AM36" i="6"/>
  <c r="G36" i="6" s="1"/>
  <c r="W36" i="6" s="1"/>
  <c r="AR35" i="6"/>
  <c r="AJ35" i="6"/>
  <c r="D35" i="6" s="1"/>
  <c r="T35" i="6" s="1"/>
  <c r="AP44" i="6"/>
  <c r="J44" i="6" s="1"/>
  <c r="Z44" i="6" s="1"/>
  <c r="AO61" i="6"/>
  <c r="I61" i="6" s="1"/>
  <c r="Y61" i="6" s="1"/>
  <c r="AT60" i="6"/>
  <c r="N60" i="6" s="1"/>
  <c r="AD60" i="6" s="1"/>
  <c r="AL60" i="6"/>
  <c r="F60" i="6" s="1"/>
  <c r="V60" i="6" s="1"/>
  <c r="AQ59" i="6"/>
  <c r="K59" i="6" s="1"/>
  <c r="AA59" i="6" s="1"/>
  <c r="AI59" i="6"/>
  <c r="AN58" i="6"/>
  <c r="H58" i="6" s="1"/>
  <c r="X58" i="6" s="1"/>
  <c r="AS57" i="6"/>
  <c r="M57" i="6" s="1"/>
  <c r="AC57" i="6" s="1"/>
  <c r="AK57" i="6"/>
  <c r="E57" i="6" s="1"/>
  <c r="U57" i="6" s="1"/>
  <c r="AP56" i="6"/>
  <c r="J56" i="6" s="1"/>
  <c r="Z56" i="6" s="1"/>
  <c r="AH56" i="6"/>
  <c r="B56" i="6" s="1"/>
  <c r="R56" i="6" s="1"/>
  <c r="AM55" i="6"/>
  <c r="G55" i="6" s="1"/>
  <c r="W55" i="6" s="1"/>
  <c r="AR54" i="6"/>
  <c r="L54" i="6" s="1"/>
  <c r="AB54" i="6" s="1"/>
  <c r="AJ54" i="6"/>
  <c r="D54" i="6" s="1"/>
  <c r="T54" i="6" s="1"/>
  <c r="AO53" i="6"/>
  <c r="I53" i="6" s="1"/>
  <c r="Y53" i="6" s="1"/>
  <c r="AT52" i="6"/>
  <c r="N52" i="6" s="1"/>
  <c r="AD52" i="6" s="1"/>
  <c r="AL52" i="6"/>
  <c r="F52" i="6" s="1"/>
  <c r="V52" i="6" s="1"/>
  <c r="AQ51" i="6"/>
  <c r="AI51" i="6"/>
  <c r="C51" i="6" s="1"/>
  <c r="S51" i="6" s="1"/>
  <c r="AN50" i="6"/>
  <c r="H50" i="6" s="1"/>
  <c r="X50" i="6" s="1"/>
  <c r="AS49" i="6"/>
  <c r="M49" i="6" s="1"/>
  <c r="AC49" i="6" s="1"/>
  <c r="AK49" i="6"/>
  <c r="AP48" i="6"/>
  <c r="J48" i="6" s="1"/>
  <c r="Z48" i="6" s="1"/>
  <c r="AH48" i="6"/>
  <c r="B48" i="6" s="1"/>
  <c r="R48" i="6" s="1"/>
  <c r="AM47" i="6"/>
  <c r="G47" i="6" s="1"/>
  <c r="W47" i="6" s="1"/>
  <c r="AR46" i="6"/>
  <c r="L46" i="6" s="1"/>
  <c r="AB46" i="6" s="1"/>
  <c r="AJ46" i="6"/>
  <c r="AO45" i="6"/>
  <c r="I45" i="6" s="1"/>
  <c r="Y45" i="6" s="1"/>
  <c r="AT44" i="6"/>
  <c r="N44" i="6" s="1"/>
  <c r="AD44" i="6" s="1"/>
  <c r="AL44" i="6"/>
  <c r="F44" i="6" s="1"/>
  <c r="V44" i="6" s="1"/>
  <c r="AQ43" i="6"/>
  <c r="K43" i="6" s="1"/>
  <c r="AA43" i="6" s="1"/>
  <c r="AI43" i="6"/>
  <c r="C43" i="6" s="1"/>
  <c r="S43" i="6" s="1"/>
  <c r="AN42" i="6"/>
  <c r="H42" i="6" s="1"/>
  <c r="X42" i="6" s="1"/>
  <c r="AS41" i="6"/>
  <c r="M41" i="6" s="1"/>
  <c r="AC41" i="6" s="1"/>
  <c r="AK41" i="6"/>
  <c r="E41" i="6" s="1"/>
  <c r="U41" i="6" s="1"/>
  <c r="AP40" i="6"/>
  <c r="J40" i="6" s="1"/>
  <c r="Z40" i="6" s="1"/>
  <c r="AH40" i="6"/>
  <c r="B40" i="6" s="1"/>
  <c r="R40" i="6" s="1"/>
  <c r="AM39" i="6"/>
  <c r="G39" i="6" s="1"/>
  <c r="W39" i="6" s="1"/>
  <c r="AR38" i="6"/>
  <c r="L38" i="6" s="1"/>
  <c r="AB38" i="6" s="1"/>
  <c r="AJ38" i="6"/>
  <c r="D38" i="6" s="1"/>
  <c r="T38" i="6" s="1"/>
  <c r="AO37" i="6"/>
  <c r="I37" i="6" s="1"/>
  <c r="Y37" i="6" s="1"/>
  <c r="AT36" i="6"/>
  <c r="N36" i="6" s="1"/>
  <c r="AD36" i="6" s="1"/>
  <c r="AQ35" i="6"/>
  <c r="AI35" i="6"/>
  <c r="C35" i="6" s="1"/>
  <c r="S35" i="6" s="1"/>
  <c r="AI47" i="6"/>
  <c r="C47" i="6" s="1"/>
  <c r="S47" i="6" s="1"/>
  <c r="AI39" i="6"/>
  <c r="C39" i="6" s="1"/>
  <c r="S39" i="6" s="1"/>
  <c r="AM35" i="6"/>
  <c r="G35" i="6" s="1"/>
  <c r="W35" i="6" s="1"/>
  <c r="AN61" i="6"/>
  <c r="H61" i="6" s="1"/>
  <c r="X61" i="6" s="1"/>
  <c r="AS60" i="6"/>
  <c r="M60" i="6" s="1"/>
  <c r="AC60" i="6" s="1"/>
  <c r="AK60" i="6"/>
  <c r="E60" i="6" s="1"/>
  <c r="U60" i="6" s="1"/>
  <c r="AP59" i="6"/>
  <c r="J59" i="6" s="1"/>
  <c r="Z59" i="6" s="1"/>
  <c r="AH59" i="6"/>
  <c r="B59" i="6" s="1"/>
  <c r="R59" i="6" s="1"/>
  <c r="AM58" i="6"/>
  <c r="G58" i="6" s="1"/>
  <c r="W58" i="6" s="1"/>
  <c r="AR57" i="6"/>
  <c r="L57" i="6" s="1"/>
  <c r="AB57" i="6" s="1"/>
  <c r="AJ57" i="6"/>
  <c r="D57" i="6" s="1"/>
  <c r="T57" i="6" s="1"/>
  <c r="AO56" i="6"/>
  <c r="I56" i="6" s="1"/>
  <c r="Y56" i="6" s="1"/>
  <c r="AT55" i="6"/>
  <c r="N55" i="6" s="1"/>
  <c r="AD55" i="6" s="1"/>
  <c r="AL55" i="6"/>
  <c r="F55" i="6" s="1"/>
  <c r="V55" i="6" s="1"/>
  <c r="AQ54" i="6"/>
  <c r="K54" i="6" s="1"/>
  <c r="AA54" i="6" s="1"/>
  <c r="AI54" i="6"/>
  <c r="C54" i="6" s="1"/>
  <c r="S54" i="6" s="1"/>
  <c r="AN53" i="6"/>
  <c r="H53" i="6" s="1"/>
  <c r="X53" i="6" s="1"/>
  <c r="AS52" i="6"/>
  <c r="M52" i="6" s="1"/>
  <c r="AC52" i="6" s="1"/>
  <c r="AK52" i="6"/>
  <c r="E52" i="6" s="1"/>
  <c r="U52" i="6" s="1"/>
  <c r="AP51" i="6"/>
  <c r="J51" i="6" s="1"/>
  <c r="Z51" i="6" s="1"/>
  <c r="AH51" i="6"/>
  <c r="B51" i="6" s="1"/>
  <c r="R51" i="6" s="1"/>
  <c r="AM50" i="6"/>
  <c r="G50" i="6" s="1"/>
  <c r="W50" i="6" s="1"/>
  <c r="AR49" i="6"/>
  <c r="L49" i="6" s="1"/>
  <c r="AB49" i="6" s="1"/>
  <c r="AJ49" i="6"/>
  <c r="D49" i="6" s="1"/>
  <c r="T49" i="6" s="1"/>
  <c r="AO48" i="6"/>
  <c r="I48" i="6" s="1"/>
  <c r="Y48" i="6" s="1"/>
  <c r="AT47" i="6"/>
  <c r="N47" i="6" s="1"/>
  <c r="AD47" i="6" s="1"/>
  <c r="AL47" i="6"/>
  <c r="F47" i="6" s="1"/>
  <c r="V47" i="6" s="1"/>
  <c r="AQ46" i="6"/>
  <c r="K46" i="6" s="1"/>
  <c r="AA46" i="6" s="1"/>
  <c r="AI46" i="6"/>
  <c r="C46" i="6" s="1"/>
  <c r="S46" i="6" s="1"/>
  <c r="AN45" i="6"/>
  <c r="H45" i="6" s="1"/>
  <c r="X45" i="6" s="1"/>
  <c r="AS44" i="6"/>
  <c r="M44" i="6" s="1"/>
  <c r="AC44" i="6" s="1"/>
  <c r="AK44" i="6"/>
  <c r="E44" i="6" s="1"/>
  <c r="U44" i="6" s="1"/>
  <c r="AP43" i="6"/>
  <c r="J43" i="6" s="1"/>
  <c r="Z43" i="6" s="1"/>
  <c r="AH43" i="6"/>
  <c r="B43" i="6" s="1"/>
  <c r="R43" i="6" s="1"/>
  <c r="AM42" i="6"/>
  <c r="G42" i="6" s="1"/>
  <c r="W42" i="6" s="1"/>
  <c r="AR41" i="6"/>
  <c r="L41" i="6" s="1"/>
  <c r="AB41" i="6" s="1"/>
  <c r="AO40" i="6"/>
  <c r="I40" i="6" s="1"/>
  <c r="Y40" i="6" s="1"/>
  <c r="AT39" i="6"/>
  <c r="N39" i="6" s="1"/>
  <c r="AD39" i="6" s="1"/>
  <c r="AL39" i="6"/>
  <c r="F39" i="6" s="1"/>
  <c r="V39" i="6" s="1"/>
  <c r="AQ38" i="6"/>
  <c r="K38" i="6" s="1"/>
  <c r="AA38" i="6" s="1"/>
  <c r="AI38" i="6"/>
  <c r="C38" i="6" s="1"/>
  <c r="S38" i="6" s="1"/>
  <c r="AN37" i="6"/>
  <c r="AS36" i="6"/>
  <c r="M36" i="6" s="1"/>
  <c r="AC36" i="6" s="1"/>
  <c r="AK36" i="6"/>
  <c r="E36" i="6" s="1"/>
  <c r="U36" i="6" s="1"/>
  <c r="AP35" i="6"/>
  <c r="AQ47" i="6"/>
  <c r="K47" i="6" s="1"/>
  <c r="AA47" i="6" s="1"/>
  <c r="AL40" i="6"/>
  <c r="F40" i="6" s="1"/>
  <c r="V40" i="6" s="1"/>
  <c r="AS37" i="6"/>
  <c r="M37" i="6" s="1"/>
  <c r="AC37" i="6" s="1"/>
  <c r="AM61" i="6"/>
  <c r="G61" i="6" s="1"/>
  <c r="W61" i="6" s="1"/>
  <c r="AR60" i="6"/>
  <c r="L60" i="6" s="1"/>
  <c r="AB60" i="6" s="1"/>
  <c r="AJ60" i="6"/>
  <c r="D60" i="6" s="1"/>
  <c r="T60" i="6" s="1"/>
  <c r="AO59" i="6"/>
  <c r="I59" i="6" s="1"/>
  <c r="Y59" i="6" s="1"/>
  <c r="AT58" i="6"/>
  <c r="N58" i="6" s="1"/>
  <c r="AD58" i="6" s="1"/>
  <c r="AL58" i="6"/>
  <c r="F58" i="6" s="1"/>
  <c r="V58" i="6" s="1"/>
  <c r="AQ57" i="6"/>
  <c r="K57" i="6" s="1"/>
  <c r="AA57" i="6" s="1"/>
  <c r="AI57" i="6"/>
  <c r="C57" i="6" s="1"/>
  <c r="S57" i="6" s="1"/>
  <c r="AN56" i="6"/>
  <c r="H56" i="6" s="1"/>
  <c r="X56" i="6" s="1"/>
  <c r="AS55" i="6"/>
  <c r="M55" i="6" s="1"/>
  <c r="AC55" i="6" s="1"/>
  <c r="AK55" i="6"/>
  <c r="E55" i="6" s="1"/>
  <c r="U55" i="6" s="1"/>
  <c r="AP54" i="6"/>
  <c r="J54" i="6" s="1"/>
  <c r="Z54" i="6" s="1"/>
  <c r="AH54" i="6"/>
  <c r="B54" i="6" s="1"/>
  <c r="R54" i="6" s="1"/>
  <c r="AM53" i="6"/>
  <c r="G53" i="6" s="1"/>
  <c r="W53" i="6" s="1"/>
  <c r="AR52" i="6"/>
  <c r="L52" i="6" s="1"/>
  <c r="AB52" i="6" s="1"/>
  <c r="AJ52" i="6"/>
  <c r="D52" i="6" s="1"/>
  <c r="T52" i="6" s="1"/>
  <c r="AO51" i="6"/>
  <c r="I51" i="6" s="1"/>
  <c r="Y51" i="6" s="1"/>
  <c r="AT50" i="6"/>
  <c r="N50" i="6" s="1"/>
  <c r="AD50" i="6" s="1"/>
  <c r="AL50" i="6"/>
  <c r="F50" i="6" s="1"/>
  <c r="V50" i="6" s="1"/>
  <c r="AQ49" i="6"/>
  <c r="AI49" i="6"/>
  <c r="C49" i="6" s="1"/>
  <c r="S49" i="6" s="1"/>
  <c r="AN48" i="6"/>
  <c r="H48" i="6" s="1"/>
  <c r="X48" i="6" s="1"/>
  <c r="AS47" i="6"/>
  <c r="M47" i="6" s="1"/>
  <c r="AC47" i="6" s="1"/>
  <c r="AK47" i="6"/>
  <c r="E47" i="6" s="1"/>
  <c r="U47" i="6" s="1"/>
  <c r="AP46" i="6"/>
  <c r="J46" i="6" s="1"/>
  <c r="Z46" i="6" s="1"/>
  <c r="AH46" i="6"/>
  <c r="AM45" i="6"/>
  <c r="G45" i="6" s="1"/>
  <c r="W45" i="6" s="1"/>
  <c r="AR44" i="6"/>
  <c r="L44" i="6" s="1"/>
  <c r="AB44" i="6" s="1"/>
  <c r="AJ44" i="6"/>
  <c r="D44" i="6" s="1"/>
  <c r="T44" i="6" s="1"/>
  <c r="AO43" i="6"/>
  <c r="I43" i="6" s="1"/>
  <c r="Y43" i="6" s="1"/>
  <c r="AT42" i="6"/>
  <c r="N42" i="6" s="1"/>
  <c r="AD42" i="6" s="1"/>
  <c r="AL42" i="6"/>
  <c r="F42" i="6" s="1"/>
  <c r="V42" i="6" s="1"/>
  <c r="AQ41" i="6"/>
  <c r="K41" i="6" s="1"/>
  <c r="AA41" i="6" s="1"/>
  <c r="AI41" i="6"/>
  <c r="C41" i="6" s="1"/>
  <c r="S41" i="6" s="1"/>
  <c r="AN40" i="6"/>
  <c r="H40" i="6" s="1"/>
  <c r="X40" i="6" s="1"/>
  <c r="AS39" i="6"/>
  <c r="M39" i="6" s="1"/>
  <c r="AC39" i="6" s="1"/>
  <c r="AK39" i="6"/>
  <c r="E39" i="6" s="1"/>
  <c r="U39" i="6" s="1"/>
  <c r="AP38" i="6"/>
  <c r="J38" i="6" s="1"/>
  <c r="Z38" i="6" s="1"/>
  <c r="AH38" i="6"/>
  <c r="B38" i="6" s="1"/>
  <c r="R38" i="6" s="1"/>
  <c r="AM37" i="6"/>
  <c r="G37" i="6" s="1"/>
  <c r="W37" i="6" s="1"/>
  <c r="AR36" i="6"/>
  <c r="L36" i="6" s="1"/>
  <c r="AB36" i="6" s="1"/>
  <c r="AJ36" i="6"/>
  <c r="AO35" i="6"/>
  <c r="I35" i="6" s="1"/>
  <c r="Y35" i="6" s="1"/>
  <c r="AL48" i="6"/>
  <c r="AQ39" i="6"/>
  <c r="K39" i="6" s="1"/>
  <c r="AA39" i="6" s="1"/>
  <c r="AP36" i="6"/>
  <c r="J36" i="6" s="1"/>
  <c r="Z36" i="6" s="1"/>
  <c r="R4" i="6"/>
  <c r="AD30" i="6"/>
  <c r="V30" i="6"/>
  <c r="AA29" i="6"/>
  <c r="S29" i="6"/>
  <c r="X28" i="6"/>
  <c r="AC27" i="6"/>
  <c r="U27" i="6"/>
  <c r="Z26" i="6"/>
  <c r="R26" i="6"/>
  <c r="W25" i="6"/>
  <c r="AB24" i="6"/>
  <c r="T24" i="6"/>
  <c r="Y23" i="6"/>
  <c r="AD22" i="6"/>
  <c r="V22" i="6"/>
  <c r="AA21" i="6"/>
  <c r="S21" i="6"/>
  <c r="X20" i="6"/>
  <c r="AC19" i="6"/>
  <c r="U19" i="6"/>
  <c r="Z18" i="6"/>
  <c r="R18" i="6"/>
  <c r="W17" i="6"/>
  <c r="AB16" i="6"/>
  <c r="T16" i="6"/>
  <c r="Y15" i="6"/>
  <c r="AD14" i="6"/>
  <c r="V14" i="6"/>
  <c r="AA13" i="6"/>
  <c r="S13" i="6"/>
  <c r="X12" i="6"/>
  <c r="AC11" i="6"/>
  <c r="U11" i="6"/>
  <c r="Z10" i="6"/>
  <c r="R10" i="6"/>
  <c r="W9" i="6"/>
  <c r="AB8" i="6"/>
  <c r="T8" i="6"/>
  <c r="Y7" i="6"/>
  <c r="AD6" i="6"/>
  <c r="V6" i="6"/>
  <c r="AA5" i="6"/>
  <c r="S5" i="6"/>
  <c r="X4" i="6"/>
  <c r="AB21" i="6"/>
  <c r="T13" i="6"/>
  <c r="Z7" i="6"/>
  <c r="AC30" i="6"/>
  <c r="U30" i="6"/>
  <c r="Z29" i="6"/>
  <c r="R29" i="6"/>
  <c r="W28" i="6"/>
  <c r="AB27" i="6"/>
  <c r="T27" i="6"/>
  <c r="Y26" i="6"/>
  <c r="AD25" i="6"/>
  <c r="V25" i="6"/>
  <c r="AA24" i="6"/>
  <c r="S24" i="6"/>
  <c r="X23" i="6"/>
  <c r="AC22" i="6"/>
  <c r="U22" i="6"/>
  <c r="Z21" i="6"/>
  <c r="R21" i="6"/>
  <c r="W20" i="6"/>
  <c r="AB19" i="6"/>
  <c r="T19" i="6"/>
  <c r="Y18" i="6"/>
  <c r="AD17" i="6"/>
  <c r="V17" i="6"/>
  <c r="AA16" i="6"/>
  <c r="S16" i="6"/>
  <c r="X15" i="6"/>
  <c r="AC14" i="6"/>
  <c r="U14" i="6"/>
  <c r="Z13" i="6"/>
  <c r="R13" i="6"/>
  <c r="W12" i="6"/>
  <c r="AB11" i="6"/>
  <c r="T11" i="6"/>
  <c r="Y10" i="6"/>
  <c r="AD9" i="6"/>
  <c r="V9" i="6"/>
  <c r="AA8" i="6"/>
  <c r="S8" i="6"/>
  <c r="X7" i="6"/>
  <c r="AC6" i="6"/>
  <c r="U6" i="6"/>
  <c r="Z5" i="6"/>
  <c r="R5" i="6"/>
  <c r="W4" i="6"/>
  <c r="Z23" i="6"/>
  <c r="S10" i="6"/>
  <c r="AB30" i="6"/>
  <c r="T30" i="6"/>
  <c r="Y29" i="6"/>
  <c r="AD28" i="6"/>
  <c r="V28" i="6"/>
  <c r="AA27" i="6"/>
  <c r="S27" i="6"/>
  <c r="X26" i="6"/>
  <c r="AC25" i="6"/>
  <c r="U25" i="6"/>
  <c r="Z24" i="6"/>
  <c r="R24" i="6"/>
  <c r="W23" i="6"/>
  <c r="AB22" i="6"/>
  <c r="T22" i="6"/>
  <c r="Y21" i="6"/>
  <c r="AD20" i="6"/>
  <c r="V20" i="6"/>
  <c r="AA19" i="6"/>
  <c r="S19" i="6"/>
  <c r="X18" i="6"/>
  <c r="AC17" i="6"/>
  <c r="U17" i="6"/>
  <c r="Z16" i="6"/>
  <c r="R16" i="6"/>
  <c r="W15" i="6"/>
  <c r="AB14" i="6"/>
  <c r="T14" i="6"/>
  <c r="Y13" i="6"/>
  <c r="AD12" i="6"/>
  <c r="V12" i="6"/>
  <c r="AA11" i="6"/>
  <c r="S11" i="6"/>
  <c r="X10" i="6"/>
  <c r="AC9" i="6"/>
  <c r="U9" i="6"/>
  <c r="Z8" i="6"/>
  <c r="R8" i="6"/>
  <c r="W7" i="6"/>
  <c r="AB6" i="6"/>
  <c r="T6" i="6"/>
  <c r="Y5" i="6"/>
  <c r="AD4" i="6"/>
  <c r="V4" i="6"/>
  <c r="R23" i="6"/>
  <c r="U8" i="6"/>
  <c r="AA30" i="6"/>
  <c r="S30" i="6"/>
  <c r="X29" i="6"/>
  <c r="AC28" i="6"/>
  <c r="U28" i="6"/>
  <c r="Z27" i="6"/>
  <c r="R27" i="6"/>
  <c r="W26" i="6"/>
  <c r="AB25" i="6"/>
  <c r="T25" i="6"/>
  <c r="Y24" i="6"/>
  <c r="AD23" i="6"/>
  <c r="V23" i="6"/>
  <c r="AA22" i="6"/>
  <c r="S22" i="6"/>
  <c r="X21" i="6"/>
  <c r="AC20" i="6"/>
  <c r="U20" i="6"/>
  <c r="Z19" i="6"/>
  <c r="R19" i="6"/>
  <c r="W18" i="6"/>
  <c r="AB17" i="6"/>
  <c r="T17" i="6"/>
  <c r="Y16" i="6"/>
  <c r="AD15" i="6"/>
  <c r="V15" i="6"/>
  <c r="AA14" i="6"/>
  <c r="S14" i="6"/>
  <c r="X13" i="6"/>
  <c r="AC12" i="6"/>
  <c r="U12" i="6"/>
  <c r="Z11" i="6"/>
  <c r="R11" i="6"/>
  <c r="W10" i="6"/>
  <c r="AB9" i="6"/>
  <c r="T9" i="6"/>
  <c r="Y8" i="6"/>
  <c r="AD7" i="6"/>
  <c r="V7" i="6"/>
  <c r="AA6" i="6"/>
  <c r="S6" i="6"/>
  <c r="X5" i="6"/>
  <c r="AC4" i="6"/>
  <c r="U4" i="6"/>
  <c r="T21" i="6"/>
  <c r="AA10" i="6"/>
  <c r="T5" i="6"/>
  <c r="Z30" i="6"/>
  <c r="R30" i="6"/>
  <c r="W29" i="6"/>
  <c r="AB28" i="6"/>
  <c r="T28" i="6"/>
  <c r="Y27" i="6"/>
  <c r="AD26" i="6"/>
  <c r="V26" i="6"/>
  <c r="AA25" i="6"/>
  <c r="S25" i="6"/>
  <c r="X24" i="6"/>
  <c r="AC23" i="6"/>
  <c r="U23" i="6"/>
  <c r="Z22" i="6"/>
  <c r="R22" i="6"/>
  <c r="W21" i="6"/>
  <c r="AB20" i="6"/>
  <c r="T20" i="6"/>
  <c r="Y19" i="6"/>
  <c r="AD18" i="6"/>
  <c r="V18" i="6"/>
  <c r="AA17" i="6"/>
  <c r="S17" i="6"/>
  <c r="X16" i="6"/>
  <c r="AC15" i="6"/>
  <c r="U15" i="6"/>
  <c r="Z14" i="6"/>
  <c r="R14" i="6"/>
  <c r="W13" i="6"/>
  <c r="AB12" i="6"/>
  <c r="T12" i="6"/>
  <c r="Y11" i="6"/>
  <c r="AD10" i="6"/>
  <c r="V10" i="6"/>
  <c r="AA9" i="6"/>
  <c r="S9" i="6"/>
  <c r="X8" i="6"/>
  <c r="AC7" i="6"/>
  <c r="U7" i="6"/>
  <c r="Z6" i="6"/>
  <c r="R6" i="6"/>
  <c r="W5" i="6"/>
  <c r="AB4" i="6"/>
  <c r="T4" i="6"/>
  <c r="X25" i="6"/>
  <c r="Y12" i="6"/>
  <c r="AB5" i="6"/>
  <c r="Y30" i="6"/>
  <c r="AD29" i="6"/>
  <c r="V29" i="6"/>
  <c r="AA28" i="6"/>
  <c r="S28" i="6"/>
  <c r="X27" i="6"/>
  <c r="AC26" i="6"/>
  <c r="U26" i="6"/>
  <c r="Z25" i="6"/>
  <c r="R25" i="6"/>
  <c r="W24" i="6"/>
  <c r="AB23" i="6"/>
  <c r="T23" i="6"/>
  <c r="Y22" i="6"/>
  <c r="AD21" i="6"/>
  <c r="V21" i="6"/>
  <c r="AA20" i="6"/>
  <c r="S20" i="6"/>
  <c r="X19" i="6"/>
  <c r="AC18" i="6"/>
  <c r="U18" i="6"/>
  <c r="Z17" i="6"/>
  <c r="R17" i="6"/>
  <c r="W16" i="6"/>
  <c r="AB15" i="6"/>
  <c r="T15" i="6"/>
  <c r="Y14" i="6"/>
  <c r="AD13" i="6"/>
  <c r="V13" i="6"/>
  <c r="AA12" i="6"/>
  <c r="S12" i="6"/>
  <c r="X11" i="6"/>
  <c r="AC10" i="6"/>
  <c r="U10" i="6"/>
  <c r="Z9" i="6"/>
  <c r="R9" i="6"/>
  <c r="W8" i="6"/>
  <c r="AB7" i="6"/>
  <c r="T7" i="6"/>
  <c r="Y6" i="6"/>
  <c r="AD5" i="6"/>
  <c r="V5" i="6"/>
  <c r="AA4" i="6"/>
  <c r="S4" i="6"/>
  <c r="AB29" i="6"/>
  <c r="Y28" i="6"/>
  <c r="AD27" i="6"/>
  <c r="AA26" i="6"/>
  <c r="AC24" i="6"/>
  <c r="Y20" i="6"/>
  <c r="V19" i="6"/>
  <c r="S18" i="6"/>
  <c r="AC16" i="6"/>
  <c r="Z15" i="6"/>
  <c r="W14" i="6"/>
  <c r="AD11" i="6"/>
  <c r="X9" i="6"/>
  <c r="R7" i="6"/>
  <c r="Y4" i="6"/>
  <c r="X30" i="6"/>
  <c r="AC29" i="6"/>
  <c r="U29" i="6"/>
  <c r="Z28" i="6"/>
  <c r="R28" i="6"/>
  <c r="W27" i="6"/>
  <c r="AB26" i="6"/>
  <c r="T26" i="6"/>
  <c r="Y25" i="6"/>
  <c r="AD24" i="6"/>
  <c r="V24" i="6"/>
  <c r="AA23" i="6"/>
  <c r="S23" i="6"/>
  <c r="X22" i="6"/>
  <c r="AC21" i="6"/>
  <c r="U21" i="6"/>
  <c r="Z20" i="6"/>
  <c r="R20" i="6"/>
  <c r="W19" i="6"/>
  <c r="AB18" i="6"/>
  <c r="T18" i="6"/>
  <c r="Y17" i="6"/>
  <c r="AD16" i="6"/>
  <c r="V16" i="6"/>
  <c r="AA15" i="6"/>
  <c r="S15" i="6"/>
  <c r="X14" i="6"/>
  <c r="AC13" i="6"/>
  <c r="U13" i="6"/>
  <c r="Z12" i="6"/>
  <c r="R12" i="6"/>
  <c r="W11" i="6"/>
  <c r="AB10" i="6"/>
  <c r="T10" i="6"/>
  <c r="Y9" i="6"/>
  <c r="AD8" i="6"/>
  <c r="V8" i="6"/>
  <c r="AA7" i="6"/>
  <c r="S7" i="6"/>
  <c r="X6" i="6"/>
  <c r="AC5" i="6"/>
  <c r="U5" i="6"/>
  <c r="Z4" i="6"/>
  <c r="W30" i="6"/>
  <c r="T29" i="6"/>
  <c r="V27" i="6"/>
  <c r="S26" i="6"/>
  <c r="U24" i="6"/>
  <c r="W22" i="6"/>
  <c r="AD19" i="6"/>
  <c r="AA18" i="6"/>
  <c r="X17" i="6"/>
  <c r="U16" i="6"/>
  <c r="R15" i="6"/>
  <c r="AB13" i="6"/>
  <c r="V11" i="6"/>
  <c r="AC8" i="6"/>
  <c r="W6" i="6"/>
  <c r="N9" i="1"/>
  <c r="H5" i="5" s="1"/>
  <c r="M92" i="5"/>
  <c r="E92" i="5"/>
  <c r="J91" i="5"/>
  <c r="B91" i="5"/>
  <c r="G90" i="5"/>
  <c r="L89" i="5"/>
  <c r="D89" i="5"/>
  <c r="I88" i="5"/>
  <c r="N87" i="5"/>
  <c r="F87" i="5"/>
  <c r="K86" i="5"/>
  <c r="C86" i="5"/>
  <c r="H85" i="5"/>
  <c r="M84" i="5"/>
  <c r="E84" i="5"/>
  <c r="J83" i="5"/>
  <c r="B83" i="5"/>
  <c r="G82" i="5"/>
  <c r="L81" i="5"/>
  <c r="D81" i="5"/>
  <c r="I80" i="5"/>
  <c r="N79" i="5"/>
  <c r="F79" i="5"/>
  <c r="K78" i="5"/>
  <c r="C78" i="5"/>
  <c r="H77" i="5"/>
  <c r="M76" i="5"/>
  <c r="E76" i="5"/>
  <c r="J75" i="5"/>
  <c r="B75" i="5"/>
  <c r="G74" i="5"/>
  <c r="L73" i="5"/>
  <c r="D73" i="5"/>
  <c r="I72" i="5"/>
  <c r="N71" i="5"/>
  <c r="F71" i="5"/>
  <c r="K70" i="5"/>
  <c r="C70" i="5"/>
  <c r="H69" i="5"/>
  <c r="L68" i="5"/>
  <c r="D68" i="5"/>
  <c r="I67" i="5"/>
  <c r="L69" i="5"/>
  <c r="B66" i="5"/>
  <c r="B69" i="5"/>
  <c r="F89" i="5"/>
  <c r="G84" i="5"/>
  <c r="M78" i="5"/>
  <c r="I74" i="5"/>
  <c r="E70" i="5"/>
  <c r="H66" i="5"/>
  <c r="L92" i="5"/>
  <c r="D92" i="5"/>
  <c r="I91" i="5"/>
  <c r="N90" i="5"/>
  <c r="F90" i="5"/>
  <c r="H88" i="5"/>
  <c r="M87" i="5"/>
  <c r="E87" i="5"/>
  <c r="J86" i="5"/>
  <c r="B86" i="5"/>
  <c r="G85" i="5"/>
  <c r="L84" i="5"/>
  <c r="D84" i="5"/>
  <c r="I83" i="5"/>
  <c r="N82" i="5"/>
  <c r="F82" i="5"/>
  <c r="K81" i="5"/>
  <c r="C81" i="5"/>
  <c r="H80" i="5"/>
  <c r="M79" i="5"/>
  <c r="E79" i="5"/>
  <c r="J78" i="5"/>
  <c r="B78" i="5"/>
  <c r="G77" i="5"/>
  <c r="L76" i="5"/>
  <c r="D76" i="5"/>
  <c r="I75" i="5"/>
  <c r="N74" i="5"/>
  <c r="F74" i="5"/>
  <c r="K73" i="5"/>
  <c r="C73" i="5"/>
  <c r="M71" i="5"/>
  <c r="E71" i="5"/>
  <c r="J70" i="5"/>
  <c r="B70" i="5"/>
  <c r="G69" i="5"/>
  <c r="K68" i="5"/>
  <c r="C68" i="5"/>
  <c r="M66" i="5"/>
  <c r="N67" i="5"/>
  <c r="D69" i="5"/>
  <c r="L67" i="5"/>
  <c r="D91" i="5"/>
  <c r="L83" i="5"/>
  <c r="C80" i="5"/>
  <c r="L75" i="5"/>
  <c r="H71" i="5"/>
  <c r="K92" i="5"/>
  <c r="C92" i="5"/>
  <c r="H91" i="5"/>
  <c r="M90" i="5"/>
  <c r="E90" i="5"/>
  <c r="J89" i="5"/>
  <c r="B89" i="5"/>
  <c r="G88" i="5"/>
  <c r="L87" i="5"/>
  <c r="D87" i="5"/>
  <c r="N85" i="5"/>
  <c r="F85" i="5"/>
  <c r="K84" i="5"/>
  <c r="C84" i="5"/>
  <c r="H83" i="5"/>
  <c r="M82" i="5"/>
  <c r="J81" i="5"/>
  <c r="B81" i="5"/>
  <c r="G80" i="5"/>
  <c r="L79" i="5"/>
  <c r="D79" i="5"/>
  <c r="I78" i="5"/>
  <c r="N77" i="5"/>
  <c r="F77" i="5"/>
  <c r="K76" i="5"/>
  <c r="C76" i="5"/>
  <c r="H75" i="5"/>
  <c r="M74" i="5"/>
  <c r="E74" i="5"/>
  <c r="J73" i="5"/>
  <c r="B73" i="5"/>
  <c r="G72" i="5"/>
  <c r="L71" i="5"/>
  <c r="D71" i="5"/>
  <c r="I70" i="5"/>
  <c r="N69" i="5"/>
  <c r="F69" i="5"/>
  <c r="J68" i="5"/>
  <c r="B68" i="5"/>
  <c r="G67" i="5"/>
  <c r="L66" i="5"/>
  <c r="D66" i="5"/>
  <c r="C71" i="5"/>
  <c r="M69" i="5"/>
  <c r="I68" i="5"/>
  <c r="C66" i="5"/>
  <c r="J66" i="5"/>
  <c r="N70" i="5"/>
  <c r="I66" i="5"/>
  <c r="I90" i="5"/>
  <c r="J85" i="5"/>
  <c r="F81" i="5"/>
  <c r="G76" i="5"/>
  <c r="M70" i="5"/>
  <c r="J92" i="5"/>
  <c r="B92" i="5"/>
  <c r="G91" i="5"/>
  <c r="L90" i="5"/>
  <c r="D90" i="5"/>
  <c r="I89" i="5"/>
  <c r="N88" i="5"/>
  <c r="F88" i="5"/>
  <c r="K87" i="5"/>
  <c r="C87" i="5"/>
  <c r="H86" i="5"/>
  <c r="M85" i="5"/>
  <c r="E85" i="5"/>
  <c r="J84" i="5"/>
  <c r="B84" i="5"/>
  <c r="G83" i="5"/>
  <c r="L82" i="5"/>
  <c r="D82" i="5"/>
  <c r="I81" i="5"/>
  <c r="N80" i="5"/>
  <c r="F80" i="5"/>
  <c r="K79" i="5"/>
  <c r="C79" i="5"/>
  <c r="H78" i="5"/>
  <c r="M77" i="5"/>
  <c r="E77" i="5"/>
  <c r="B76" i="5"/>
  <c r="G75" i="5"/>
  <c r="L74" i="5"/>
  <c r="D74" i="5"/>
  <c r="I73" i="5"/>
  <c r="N72" i="5"/>
  <c r="F72" i="5"/>
  <c r="K71" i="5"/>
  <c r="H70" i="5"/>
  <c r="E69" i="5"/>
  <c r="M67" i="5"/>
  <c r="K69" i="5"/>
  <c r="L91" i="5"/>
  <c r="B85" i="5"/>
  <c r="H79" i="5"/>
  <c r="N73" i="5"/>
  <c r="F68" i="5"/>
  <c r="I92" i="5"/>
  <c r="N91" i="5"/>
  <c r="F91" i="5"/>
  <c r="K90" i="5"/>
  <c r="C90" i="5"/>
  <c r="H89" i="5"/>
  <c r="M88" i="5"/>
  <c r="E88" i="5"/>
  <c r="J87" i="5"/>
  <c r="B87" i="5"/>
  <c r="G86" i="5"/>
  <c r="L85" i="5"/>
  <c r="D85" i="5"/>
  <c r="I84" i="5"/>
  <c r="N83" i="5"/>
  <c r="F83" i="5"/>
  <c r="C82" i="5"/>
  <c r="H81" i="5"/>
  <c r="M80" i="5"/>
  <c r="J79" i="5"/>
  <c r="B79" i="5"/>
  <c r="G78" i="5"/>
  <c r="L77" i="5"/>
  <c r="D77" i="5"/>
  <c r="I76" i="5"/>
  <c r="N75" i="5"/>
  <c r="F75" i="5"/>
  <c r="K74" i="5"/>
  <c r="C74" i="5"/>
  <c r="H73" i="5"/>
  <c r="M72" i="5"/>
  <c r="E72" i="5"/>
  <c r="J71" i="5"/>
  <c r="B71" i="5"/>
  <c r="G70" i="5"/>
  <c r="H68" i="5"/>
  <c r="F70" i="5"/>
  <c r="C69" i="5"/>
  <c r="C88" i="5"/>
  <c r="M86" i="5"/>
  <c r="I82" i="5"/>
  <c r="J77" i="5"/>
  <c r="K72" i="5"/>
  <c r="K67" i="5"/>
  <c r="H92" i="5"/>
  <c r="M91" i="5"/>
  <c r="E91" i="5"/>
  <c r="J90" i="5"/>
  <c r="B90" i="5"/>
  <c r="G89" i="5"/>
  <c r="L88" i="5"/>
  <c r="D88" i="5"/>
  <c r="I87" i="5"/>
  <c r="N86" i="5"/>
  <c r="F86" i="5"/>
  <c r="K85" i="5"/>
  <c r="C85" i="5"/>
  <c r="H84" i="5"/>
  <c r="M83" i="5"/>
  <c r="E83" i="5"/>
  <c r="J82" i="5"/>
  <c r="B82" i="5"/>
  <c r="G81" i="5"/>
  <c r="L80" i="5"/>
  <c r="D80" i="5"/>
  <c r="I79" i="5"/>
  <c r="N78" i="5"/>
  <c r="F78" i="5"/>
  <c r="K77" i="5"/>
  <c r="C77" i="5"/>
  <c r="H76" i="5"/>
  <c r="M75" i="5"/>
  <c r="E75" i="5"/>
  <c r="J74" i="5"/>
  <c r="B74" i="5"/>
  <c r="G73" i="5"/>
  <c r="L72" i="5"/>
  <c r="G68" i="5"/>
  <c r="G92" i="5"/>
  <c r="H87" i="5"/>
  <c r="N81" i="5"/>
  <c r="B77" i="5"/>
  <c r="C72" i="5"/>
  <c r="C67" i="5"/>
  <c r="K88" i="5"/>
  <c r="D83" i="5"/>
  <c r="E78" i="5"/>
  <c r="F73" i="5"/>
  <c r="N68" i="5"/>
  <c r="N92" i="5"/>
  <c r="F92" i="5"/>
  <c r="K91" i="5"/>
  <c r="C91" i="5"/>
  <c r="H90" i="5"/>
  <c r="M89" i="5"/>
  <c r="J88" i="5"/>
  <c r="B88" i="5"/>
  <c r="G87" i="5"/>
  <c r="L86" i="5"/>
  <c r="D86" i="5"/>
  <c r="I85" i="5"/>
  <c r="N84" i="5"/>
  <c r="F84" i="5"/>
  <c r="K83" i="5"/>
  <c r="C83" i="5"/>
  <c r="H82" i="5"/>
  <c r="M81" i="5"/>
  <c r="E81" i="5"/>
  <c r="J80" i="5"/>
  <c r="B80" i="5"/>
  <c r="G79" i="5"/>
  <c r="L78" i="5"/>
  <c r="D78" i="5"/>
  <c r="I77" i="5"/>
  <c r="N76" i="5"/>
  <c r="K75" i="5"/>
  <c r="C75" i="5"/>
  <c r="H74" i="5"/>
  <c r="M73" i="5"/>
  <c r="E73" i="5"/>
  <c r="J72" i="5"/>
  <c r="B72" i="5"/>
  <c r="G71" i="5"/>
  <c r="L70" i="5"/>
  <c r="I69" i="5"/>
  <c r="M68" i="5"/>
  <c r="E68" i="5"/>
  <c r="J67" i="5"/>
  <c r="B67" i="5"/>
  <c r="G66" i="5"/>
  <c r="N66" i="5"/>
  <c r="E66" i="5"/>
  <c r="E67" i="5"/>
  <c r="I71" i="5"/>
  <c r="D67" i="5"/>
  <c r="N89" i="5"/>
  <c r="E86" i="5"/>
  <c r="D75" i="5"/>
  <c r="J69" i="5"/>
  <c r="N10" i="1"/>
  <c r="S17" i="1"/>
  <c r="V17" i="1" s="1"/>
  <c r="N2" i="1"/>
  <c r="F4" i="5" s="1"/>
  <c r="N61" i="5"/>
  <c r="B61" i="5"/>
  <c r="C60" i="5"/>
  <c r="D59" i="5"/>
  <c r="D58" i="5"/>
  <c r="D57" i="5"/>
  <c r="E56" i="5"/>
  <c r="E55" i="5"/>
  <c r="F54" i="5"/>
  <c r="G53" i="5"/>
  <c r="H52" i="5"/>
  <c r="H51" i="5"/>
  <c r="H50" i="5"/>
  <c r="H49" i="5"/>
  <c r="H48" i="5"/>
  <c r="I47" i="5"/>
  <c r="J46" i="5"/>
  <c r="K45" i="5"/>
  <c r="J44" i="5"/>
  <c r="K43" i="5"/>
  <c r="L42" i="5"/>
  <c r="M41" i="5"/>
  <c r="L40" i="5"/>
  <c r="C61" i="5"/>
  <c r="B60" i="5"/>
  <c r="B59" i="5"/>
  <c r="M57" i="5"/>
  <c r="M56" i="5"/>
  <c r="M55" i="5"/>
  <c r="L54" i="5"/>
  <c r="L53" i="5"/>
  <c r="L52" i="5"/>
  <c r="L51" i="5"/>
  <c r="J50" i="5"/>
  <c r="I49" i="5"/>
  <c r="G48" i="5"/>
  <c r="G47" i="5"/>
  <c r="G46" i="5"/>
  <c r="E45" i="5"/>
  <c r="E44" i="5"/>
  <c r="E43" i="5"/>
  <c r="E42" i="5"/>
  <c r="C41" i="5"/>
  <c r="C40" i="5"/>
  <c r="E38" i="5"/>
  <c r="F37" i="5"/>
  <c r="E36" i="5"/>
  <c r="D35" i="5"/>
  <c r="M5" i="5"/>
  <c r="L6" i="5"/>
  <c r="K7" i="5"/>
  <c r="J8" i="5"/>
  <c r="I9" i="5"/>
  <c r="J10" i="5"/>
  <c r="I11" i="5"/>
  <c r="H12" i="5"/>
  <c r="G13" i="5"/>
  <c r="G14" i="5"/>
  <c r="G15" i="5"/>
  <c r="F16" i="5"/>
  <c r="E17" i="5"/>
  <c r="D18" i="5"/>
  <c r="E19" i="5"/>
  <c r="D20" i="5"/>
  <c r="E21" i="5"/>
  <c r="D22" i="5"/>
  <c r="C23" i="5"/>
  <c r="B24" i="5"/>
  <c r="B25" i="5"/>
  <c r="N25" i="5"/>
  <c r="M26" i="5"/>
  <c r="N27" i="5"/>
  <c r="M28" i="5"/>
  <c r="L29" i="5"/>
  <c r="K30" i="5"/>
  <c r="L4" i="5"/>
  <c r="N5" i="5"/>
  <c r="M6" i="5"/>
  <c r="K8" i="5"/>
  <c r="J9" i="5"/>
  <c r="J11" i="5"/>
  <c r="H13" i="5"/>
  <c r="H14" i="5"/>
  <c r="G16" i="5"/>
  <c r="F17" i="5"/>
  <c r="F19" i="5"/>
  <c r="F20" i="5"/>
  <c r="F21" i="5"/>
  <c r="E22" i="5"/>
  <c r="D23" i="5"/>
  <c r="C25" i="5"/>
  <c r="B26" i="5"/>
  <c r="B28" i="5"/>
  <c r="N28" i="5"/>
  <c r="L30" i="5"/>
  <c r="M4" i="5"/>
  <c r="N6" i="5"/>
  <c r="M7" i="5"/>
  <c r="L10" i="5"/>
  <c r="K11" i="5"/>
  <c r="I14" i="5"/>
  <c r="I15" i="5"/>
  <c r="G18" i="5"/>
  <c r="G19" i="5"/>
  <c r="F22" i="5"/>
  <c r="E23" i="5"/>
  <c r="C26" i="5"/>
  <c r="B27" i="5"/>
  <c r="N29" i="5"/>
  <c r="N7" i="5"/>
  <c r="L9" i="5"/>
  <c r="M10" i="5"/>
  <c r="K14" i="5"/>
  <c r="J15" i="5"/>
  <c r="H19" i="5"/>
  <c r="H20" i="5"/>
  <c r="E24" i="5"/>
  <c r="E25" i="5"/>
  <c r="C29" i="5"/>
  <c r="B30" i="5"/>
  <c r="K13" i="5"/>
  <c r="N60" i="5"/>
  <c r="N59" i="5"/>
  <c r="N58" i="5"/>
  <c r="L57" i="5"/>
  <c r="L56" i="5"/>
  <c r="L55" i="5"/>
  <c r="K54" i="5"/>
  <c r="K53" i="5"/>
  <c r="K52" i="5"/>
  <c r="J51" i="5"/>
  <c r="I50" i="5"/>
  <c r="G49" i="5"/>
  <c r="F48" i="5"/>
  <c r="F47" i="5"/>
  <c r="F46" i="5"/>
  <c r="D45" i="5"/>
  <c r="D44" i="5"/>
  <c r="D43" i="5"/>
  <c r="D42" i="5"/>
  <c r="B41" i="5"/>
  <c r="B40" i="5"/>
  <c r="C39" i="5"/>
  <c r="D38" i="5"/>
  <c r="E37" i="5"/>
  <c r="D36" i="5"/>
  <c r="C35" i="5"/>
  <c r="L7" i="5"/>
  <c r="K10" i="5"/>
  <c r="I12" i="5"/>
  <c r="H15" i="5"/>
  <c r="F18" i="5"/>
  <c r="C24" i="5"/>
  <c r="N26" i="5"/>
  <c r="M29" i="5"/>
  <c r="L8" i="5"/>
  <c r="J12" i="5"/>
  <c r="H16" i="5"/>
  <c r="G20" i="5"/>
  <c r="D24" i="5"/>
  <c r="C28" i="5"/>
  <c r="M30" i="5"/>
  <c r="C6" i="5"/>
  <c r="K12" i="5"/>
  <c r="H17" i="5"/>
  <c r="G22" i="5"/>
  <c r="D26" i="5"/>
  <c r="N30" i="5"/>
  <c r="L14" i="5"/>
  <c r="M61" i="5"/>
  <c r="M60" i="5"/>
  <c r="M59" i="5"/>
  <c r="M58" i="5"/>
  <c r="K57" i="5"/>
  <c r="K56" i="5"/>
  <c r="K55" i="5"/>
  <c r="J54" i="5"/>
  <c r="J53" i="5"/>
  <c r="J52" i="5"/>
  <c r="I51" i="5"/>
  <c r="G50" i="5"/>
  <c r="F49" i="5"/>
  <c r="E48" i="5"/>
  <c r="E47" i="5"/>
  <c r="E46" i="5"/>
  <c r="C45" i="5"/>
  <c r="C44" i="5"/>
  <c r="C43" i="5"/>
  <c r="C42" i="5"/>
  <c r="N40" i="5"/>
  <c r="N39" i="5"/>
  <c r="B39" i="5"/>
  <c r="C38" i="5"/>
  <c r="D37" i="5"/>
  <c r="C36" i="5"/>
  <c r="B35" i="5"/>
  <c r="B6" i="5"/>
  <c r="K9" i="5"/>
  <c r="I13" i="5"/>
  <c r="G17" i="5"/>
  <c r="G21" i="5"/>
  <c r="D25" i="5"/>
  <c r="B29" i="5"/>
  <c r="B4" i="5"/>
  <c r="B7" i="5"/>
  <c r="L11" i="5"/>
  <c r="I16" i="5"/>
  <c r="H21" i="5"/>
  <c r="D27" i="5"/>
  <c r="N10" i="5"/>
  <c r="L61" i="5"/>
  <c r="L60" i="5"/>
  <c r="L59" i="5"/>
  <c r="L58" i="5"/>
  <c r="J57" i="5"/>
  <c r="J56" i="5"/>
  <c r="J55" i="5"/>
  <c r="I54" i="5"/>
  <c r="I53" i="5"/>
  <c r="I52" i="5"/>
  <c r="G51" i="5"/>
  <c r="F50" i="5"/>
  <c r="D49" i="5"/>
  <c r="D48" i="5"/>
  <c r="D47" i="5"/>
  <c r="D46" i="5"/>
  <c r="B45" i="5"/>
  <c r="B44" i="5"/>
  <c r="B43" i="5"/>
  <c r="B42" i="5"/>
  <c r="M40" i="5"/>
  <c r="M39" i="5"/>
  <c r="N38" i="5"/>
  <c r="B38" i="5"/>
  <c r="C37" i="5"/>
  <c r="B36" i="5"/>
  <c r="B5" i="5"/>
  <c r="M8" i="5"/>
  <c r="J13" i="5"/>
  <c r="H18" i="5"/>
  <c r="F23" i="5"/>
  <c r="D28" i="5"/>
  <c r="L12" i="5"/>
  <c r="K61" i="5"/>
  <c r="K60" i="5"/>
  <c r="K59" i="5"/>
  <c r="I57" i="5"/>
  <c r="I56" i="5"/>
  <c r="H55" i="5"/>
  <c r="H54" i="5"/>
  <c r="H53" i="5"/>
  <c r="G52" i="5"/>
  <c r="F51" i="5"/>
  <c r="E50" i="5"/>
  <c r="C49" i="5"/>
  <c r="C48" i="5"/>
  <c r="C47" i="5"/>
  <c r="C46" i="5"/>
  <c r="N44" i="5"/>
  <c r="N43" i="5"/>
  <c r="N42" i="5"/>
  <c r="N41" i="5"/>
  <c r="K40" i="5"/>
  <c r="L39" i="5"/>
  <c r="M38" i="5"/>
  <c r="N37" i="5"/>
  <c r="B37" i="5"/>
  <c r="N35" i="5"/>
  <c r="C5" i="5"/>
  <c r="D6" i="5"/>
  <c r="C7" i="5"/>
  <c r="B8" i="5"/>
  <c r="N8" i="5"/>
  <c r="M9" i="5"/>
  <c r="M11" i="5"/>
  <c r="K15" i="5"/>
  <c r="J61" i="5"/>
  <c r="J60" i="5"/>
  <c r="J59" i="5"/>
  <c r="J58" i="5"/>
  <c r="H57" i="5"/>
  <c r="H56" i="5"/>
  <c r="G55" i="5"/>
  <c r="G54" i="5"/>
  <c r="F53" i="5"/>
  <c r="F52" i="5"/>
  <c r="D51" i="5"/>
  <c r="D50" i="5"/>
  <c r="B49" i="5"/>
  <c r="B48" i="5"/>
  <c r="B47" i="5"/>
  <c r="B46" i="5"/>
  <c r="M44" i="5"/>
  <c r="M43" i="5"/>
  <c r="M42" i="5"/>
  <c r="L41" i="5"/>
  <c r="J40" i="5"/>
  <c r="K39" i="5"/>
  <c r="L38" i="5"/>
  <c r="M37" i="5"/>
  <c r="N36" i="5"/>
  <c r="M35" i="5"/>
  <c r="D5" i="5"/>
  <c r="E6" i="5"/>
  <c r="D7" i="5"/>
  <c r="C8" i="5"/>
  <c r="B9" i="5"/>
  <c r="N9" i="5"/>
  <c r="B11" i="5"/>
  <c r="N11" i="5"/>
  <c r="I61" i="5"/>
  <c r="I60" i="5"/>
  <c r="I59" i="5"/>
  <c r="I58" i="5"/>
  <c r="G57" i="5"/>
  <c r="G56" i="5"/>
  <c r="F55" i="5"/>
  <c r="E54" i="5"/>
  <c r="E53" i="5"/>
  <c r="E52" i="5"/>
  <c r="C51" i="5"/>
  <c r="C50" i="5"/>
  <c r="N48" i="5"/>
  <c r="N47" i="5"/>
  <c r="N46" i="5"/>
  <c r="N45" i="5"/>
  <c r="L44" i="5"/>
  <c r="L43" i="5"/>
  <c r="K42" i="5"/>
  <c r="K41" i="5"/>
  <c r="I40" i="5"/>
  <c r="J39" i="5"/>
  <c r="K38" i="5"/>
  <c r="L37" i="5"/>
  <c r="M36" i="5"/>
  <c r="L35" i="5"/>
  <c r="E5" i="5"/>
  <c r="F6" i="5"/>
  <c r="E7" i="5"/>
  <c r="D8" i="5"/>
  <c r="C9" i="5"/>
  <c r="B10" i="5"/>
  <c r="C11" i="5"/>
  <c r="H61" i="5"/>
  <c r="H60" i="5"/>
  <c r="H59" i="5"/>
  <c r="H58" i="5"/>
  <c r="F57" i="5"/>
  <c r="F56" i="5"/>
  <c r="D55" i="5"/>
  <c r="D54" i="5"/>
  <c r="D53" i="5"/>
  <c r="D52" i="5"/>
  <c r="B51" i="5"/>
  <c r="B50" i="5"/>
  <c r="M48" i="5"/>
  <c r="M47" i="5"/>
  <c r="M46" i="5"/>
  <c r="M45" i="5"/>
  <c r="K44" i="5"/>
  <c r="J43" i="5"/>
  <c r="J42" i="5"/>
  <c r="J41" i="5"/>
  <c r="H40" i="5"/>
  <c r="I39" i="5"/>
  <c r="J38" i="5"/>
  <c r="K37" i="5"/>
  <c r="L36" i="5"/>
  <c r="J35" i="5"/>
  <c r="G5" i="5"/>
  <c r="G6" i="5"/>
  <c r="F7" i="5"/>
  <c r="E8" i="5"/>
  <c r="D9" i="5"/>
  <c r="C10" i="5"/>
  <c r="D11" i="5"/>
  <c r="G61" i="5"/>
  <c r="G60" i="5"/>
  <c r="G59" i="5"/>
  <c r="G58" i="5"/>
  <c r="E57" i="5"/>
  <c r="D56" i="5"/>
  <c r="C55" i="5"/>
  <c r="C54" i="5"/>
  <c r="C53" i="5"/>
  <c r="C52" i="5"/>
  <c r="N50" i="5"/>
  <c r="N49" i="5"/>
  <c r="L48" i="5"/>
  <c r="L47" i="5"/>
  <c r="L46" i="5"/>
  <c r="L45" i="5"/>
  <c r="I44" i="5"/>
  <c r="I43" i="5"/>
  <c r="I42" i="5"/>
  <c r="I41" i="5"/>
  <c r="G40" i="5"/>
  <c r="H39" i="5"/>
  <c r="I38" i="5"/>
  <c r="J37" i="5"/>
  <c r="K36" i="5"/>
  <c r="I35" i="5"/>
  <c r="I5" i="5"/>
  <c r="H6" i="5"/>
  <c r="G7" i="5"/>
  <c r="F8" i="5"/>
  <c r="E9" i="5"/>
  <c r="E10" i="5"/>
  <c r="E11" i="5"/>
  <c r="D12" i="5"/>
  <c r="C13" i="5"/>
  <c r="B14" i="5"/>
  <c r="F61" i="5"/>
  <c r="F60" i="5"/>
  <c r="F59" i="5"/>
  <c r="F58" i="5"/>
  <c r="C57" i="5"/>
  <c r="C56" i="5"/>
  <c r="B55" i="5"/>
  <c r="B54" i="5"/>
  <c r="B53" i="5"/>
  <c r="B52" i="5"/>
  <c r="M50" i="5"/>
  <c r="M49" i="5"/>
  <c r="K48" i="5"/>
  <c r="K47" i="5"/>
  <c r="K46" i="5"/>
  <c r="I45" i="5"/>
  <c r="H44" i="5"/>
  <c r="H43" i="5"/>
  <c r="H42" i="5"/>
  <c r="G41" i="5"/>
  <c r="F40" i="5"/>
  <c r="G39" i="5"/>
  <c r="H38" i="5"/>
  <c r="I37" i="5"/>
  <c r="J36" i="5"/>
  <c r="H35" i="5"/>
  <c r="J5" i="5"/>
  <c r="I6" i="5"/>
  <c r="H7" i="5"/>
  <c r="G8" i="5"/>
  <c r="F9" i="5"/>
  <c r="F10" i="5"/>
  <c r="F11" i="5"/>
  <c r="E12" i="5"/>
  <c r="D13" i="5"/>
  <c r="C14" i="5"/>
  <c r="E61" i="5"/>
  <c r="E60" i="5"/>
  <c r="E59" i="5"/>
  <c r="B58" i="5"/>
  <c r="B57" i="5"/>
  <c r="B56" i="5"/>
  <c r="N54" i="5"/>
  <c r="N53" i="5"/>
  <c r="N52" i="5"/>
  <c r="N51" i="5"/>
  <c r="L50" i="5"/>
  <c r="L49" i="5"/>
  <c r="J48" i="5"/>
  <c r="J47" i="5"/>
  <c r="I46" i="5"/>
  <c r="H45" i="5"/>
  <c r="G44" i="5"/>
  <c r="G43" i="5"/>
  <c r="G42" i="5"/>
  <c r="F41" i="5"/>
  <c r="E40" i="5"/>
  <c r="F39" i="5"/>
  <c r="G38" i="5"/>
  <c r="H37" i="5"/>
  <c r="I36" i="5"/>
  <c r="G35" i="5"/>
  <c r="K5" i="5"/>
  <c r="J6" i="5"/>
  <c r="I7" i="5"/>
  <c r="H8" i="5"/>
  <c r="G9" i="5"/>
  <c r="G10" i="5"/>
  <c r="G11" i="5"/>
  <c r="N57" i="5"/>
  <c r="G45" i="5"/>
  <c r="F12" i="5"/>
  <c r="M14" i="5"/>
  <c r="D16" i="5"/>
  <c r="K17" i="5"/>
  <c r="C19" i="5"/>
  <c r="L20" i="5"/>
  <c r="B22" i="5"/>
  <c r="I23" i="5"/>
  <c r="M24" i="5"/>
  <c r="G26" i="5"/>
  <c r="L27" i="5"/>
  <c r="F29" i="5"/>
  <c r="I30" i="5"/>
  <c r="N14" i="5"/>
  <c r="E16" i="5"/>
  <c r="D19" i="5"/>
  <c r="M20" i="5"/>
  <c r="J23" i="5"/>
  <c r="N24" i="5"/>
  <c r="M27" i="5"/>
  <c r="G29" i="5"/>
  <c r="M17" i="5"/>
  <c r="N20" i="5"/>
  <c r="K23" i="5"/>
  <c r="I26" i="5"/>
  <c r="H29" i="5"/>
  <c r="J19" i="5"/>
  <c r="I22" i="5"/>
  <c r="J26" i="5"/>
  <c r="I29" i="5"/>
  <c r="J22" i="5"/>
  <c r="G28" i="5"/>
  <c r="N23" i="5"/>
  <c r="K29" i="5"/>
  <c r="C30" i="5"/>
  <c r="J28" i="5"/>
  <c r="E30" i="5"/>
  <c r="J27" i="5"/>
  <c r="H46" i="5"/>
  <c r="J20" i="5"/>
  <c r="N56" i="5"/>
  <c r="F44" i="5"/>
  <c r="G12" i="5"/>
  <c r="L17" i="5"/>
  <c r="C22" i="5"/>
  <c r="H26" i="5"/>
  <c r="J30" i="5"/>
  <c r="H22" i="5"/>
  <c r="E28" i="5"/>
  <c r="K16" i="5"/>
  <c r="G25" i="5"/>
  <c r="C4" i="5"/>
  <c r="K26" i="5"/>
  <c r="L26" i="5"/>
  <c r="F27" i="5"/>
  <c r="H4" i="5"/>
  <c r="D29" i="5"/>
  <c r="J17" i="5"/>
  <c r="N55" i="5"/>
  <c r="F43" i="5"/>
  <c r="M12" i="5"/>
  <c r="B15" i="5"/>
  <c r="J16" i="5"/>
  <c r="I19" i="5"/>
  <c r="F25" i="5"/>
  <c r="N4" i="5"/>
  <c r="B21" i="5"/>
  <c r="F28" i="5"/>
  <c r="H25" i="5"/>
  <c r="I25" i="5"/>
  <c r="I28" i="5"/>
  <c r="H27" i="5"/>
  <c r="G30" i="5"/>
  <c r="B19" i="5"/>
  <c r="M54" i="5"/>
  <c r="F42" i="5"/>
  <c r="L5" i="5"/>
  <c r="N12" i="5"/>
  <c r="C15" i="5"/>
  <c r="N17" i="5"/>
  <c r="L23" i="5"/>
  <c r="C21" i="5"/>
  <c r="J29" i="5"/>
  <c r="H28" i="5"/>
  <c r="G4" i="5"/>
  <c r="I4" i="5"/>
  <c r="C59" i="5"/>
  <c r="E29" i="5"/>
  <c r="M53" i="5"/>
  <c r="E41" i="5"/>
  <c r="K6" i="5"/>
  <c r="B13" i="5"/>
  <c r="D15" i="5"/>
  <c r="L16" i="5"/>
  <c r="B18" i="5"/>
  <c r="K19" i="5"/>
  <c r="M23" i="5"/>
  <c r="D4" i="5"/>
  <c r="E4" i="5"/>
  <c r="G27" i="5"/>
  <c r="L28" i="5"/>
  <c r="E14" i="5"/>
  <c r="F26" i="5"/>
  <c r="M52" i="5"/>
  <c r="D40" i="5"/>
  <c r="J7" i="5"/>
  <c r="E13" i="5"/>
  <c r="E15" i="5"/>
  <c r="M16" i="5"/>
  <c r="C18" i="5"/>
  <c r="L19" i="5"/>
  <c r="D21" i="5"/>
  <c r="K22" i="5"/>
  <c r="J25" i="5"/>
  <c r="K28" i="5"/>
  <c r="N21" i="5"/>
  <c r="M51" i="5"/>
  <c r="E39" i="5"/>
  <c r="I8" i="5"/>
  <c r="F13" i="5"/>
  <c r="F15" i="5"/>
  <c r="N16" i="5"/>
  <c r="I18" i="5"/>
  <c r="M19" i="5"/>
  <c r="I21" i="5"/>
  <c r="L22" i="5"/>
  <c r="F24" i="5"/>
  <c r="D30" i="5"/>
  <c r="I27" i="5"/>
  <c r="H23" i="5"/>
  <c r="K50" i="5"/>
  <c r="F38" i="5"/>
  <c r="H9" i="5"/>
  <c r="L13" i="5"/>
  <c r="L15" i="5"/>
  <c r="B17" i="5"/>
  <c r="J18" i="5"/>
  <c r="N19" i="5"/>
  <c r="J21" i="5"/>
  <c r="M22" i="5"/>
  <c r="G24" i="5"/>
  <c r="K25" i="5"/>
  <c r="F30" i="5"/>
  <c r="C16" i="5"/>
  <c r="J49" i="5"/>
  <c r="G37" i="5"/>
  <c r="I10" i="5"/>
  <c r="M13" i="5"/>
  <c r="M15" i="5"/>
  <c r="C17" i="5"/>
  <c r="L18" i="5"/>
  <c r="B20" i="5"/>
  <c r="K21" i="5"/>
  <c r="N22" i="5"/>
  <c r="H24" i="5"/>
  <c r="L25" i="5"/>
  <c r="J4" i="5"/>
  <c r="C12" i="5"/>
  <c r="L24" i="5"/>
  <c r="D61" i="5"/>
  <c r="I48" i="5"/>
  <c r="G36" i="5"/>
  <c r="H11" i="5"/>
  <c r="N13" i="5"/>
  <c r="N15" i="5"/>
  <c r="D17" i="5"/>
  <c r="M18" i="5"/>
  <c r="C20" i="5"/>
  <c r="L21" i="5"/>
  <c r="B23" i="5"/>
  <c r="J24" i="5"/>
  <c r="M25" i="5"/>
  <c r="D60" i="5"/>
  <c r="H47" i="5"/>
  <c r="E35" i="5"/>
  <c r="B12" i="5"/>
  <c r="D14" i="5"/>
  <c r="B16" i="5"/>
  <c r="I17" i="5"/>
  <c r="N18" i="5"/>
  <c r="I20" i="5"/>
  <c r="M21" i="5"/>
  <c r="G23" i="5"/>
  <c r="K24" i="5"/>
  <c r="E26" i="5"/>
  <c r="H30" i="5"/>
  <c r="E20" i="5"/>
  <c r="H10" i="5"/>
  <c r="I24" i="5"/>
  <c r="F14" i="5"/>
  <c r="K4" i="5"/>
  <c r="D10" i="5"/>
  <c r="E18" i="5"/>
  <c r="F5" i="5"/>
  <c r="N15" i="1"/>
  <c r="K27" i="5" s="1"/>
  <c r="N5" i="1"/>
  <c r="N14" i="1"/>
  <c r="N13" i="1"/>
  <c r="N15" i="2"/>
  <c r="N14" i="2"/>
  <c r="P17" i="1"/>
  <c r="S14" i="1"/>
  <c r="S4" i="1"/>
  <c r="S15" i="1"/>
  <c r="S7" i="1"/>
  <c r="S5" i="1"/>
  <c r="S11" i="1"/>
  <c r="S9" i="1"/>
  <c r="N7" i="1"/>
  <c r="C3" i="4"/>
  <c r="N13" i="2"/>
  <c r="M16" i="2"/>
  <c r="M13" i="7" l="1"/>
  <c r="U38" i="1" a="1"/>
  <c r="U38" i="1" s="1"/>
  <c r="X38" i="1" s="1"/>
  <c r="U37" i="1" a="1"/>
  <c r="U37" i="1" s="1"/>
  <c r="X37" i="1" s="1"/>
  <c r="T38" i="1"/>
  <c r="W38" i="1" s="1"/>
  <c r="H37" i="6" s="1"/>
  <c r="T37" i="1"/>
  <c r="W37" i="1" s="1"/>
  <c r="D37" i="6" s="1"/>
  <c r="T35" i="1"/>
  <c r="W35" i="1" s="1"/>
  <c r="T36" i="1"/>
  <c r="W36" i="1" s="1"/>
  <c r="U35" i="1" a="1"/>
  <c r="U35" i="1" s="1"/>
  <c r="X35" i="1" s="1"/>
  <c r="U36" i="1" a="1"/>
  <c r="U36" i="1" s="1"/>
  <c r="X36" i="1" s="1"/>
  <c r="T33" i="1"/>
  <c r="W33" i="1" s="1"/>
  <c r="D55" i="6" s="1"/>
  <c r="U33" i="1" a="1"/>
  <c r="U33" i="1" s="1"/>
  <c r="X33" i="1" s="1"/>
  <c r="U34" i="1" a="1"/>
  <c r="U34" i="1" s="1"/>
  <c r="X34" i="1" s="1"/>
  <c r="T34" i="1"/>
  <c r="W34" i="1" s="1"/>
  <c r="AL5" i="6"/>
  <c r="AU5" i="6" s="1"/>
  <c r="B15" i="6"/>
  <c r="O15" i="6" s="1"/>
  <c r="C44" i="7"/>
  <c r="B4" i="7"/>
  <c r="V29" i="1"/>
  <c r="D5" i="6" s="1"/>
  <c r="O30" i="1"/>
  <c r="P30" i="1" s="1"/>
  <c r="R30" i="1"/>
  <c r="S30" i="1"/>
  <c r="R11" i="1"/>
  <c r="R10" i="1"/>
  <c r="T30" i="1"/>
  <c r="W30" i="1" s="1"/>
  <c r="U30" i="1" a="1"/>
  <c r="U30" i="1" s="1"/>
  <c r="U29" i="1" a="1"/>
  <c r="U29" i="1" s="1"/>
  <c r="X29" i="1" s="1"/>
  <c r="T29" i="1"/>
  <c r="W29" i="1" s="1"/>
  <c r="T27" i="1"/>
  <c r="W27" i="1" s="1"/>
  <c r="T28" i="1"/>
  <c r="W28" i="1" s="1"/>
  <c r="U27" i="1" a="1"/>
  <c r="U27" i="1" s="1"/>
  <c r="X27" i="1" s="1"/>
  <c r="U28" i="1" a="1"/>
  <c r="U28" i="1" s="1"/>
  <c r="X28" i="1" s="1"/>
  <c r="U26" i="1" a="1"/>
  <c r="U26" i="1" s="1"/>
  <c r="X26" i="1" s="1"/>
  <c r="U25" i="1" a="1"/>
  <c r="U25" i="1" s="1"/>
  <c r="X25" i="1" s="1"/>
  <c r="T25" i="1"/>
  <c r="W25" i="1" s="1"/>
  <c r="T26" i="1"/>
  <c r="W26" i="1" s="1"/>
  <c r="AP31" i="6"/>
  <c r="AU24" i="6"/>
  <c r="B18" i="6"/>
  <c r="AU18" i="6"/>
  <c r="B19" i="6"/>
  <c r="O19" i="6" s="1"/>
  <c r="AU19" i="6"/>
  <c r="B6" i="6"/>
  <c r="O6" i="6" s="1"/>
  <c r="AU6" i="6"/>
  <c r="B23" i="6"/>
  <c r="O23" i="6" s="1"/>
  <c r="AU23" i="6"/>
  <c r="B16" i="6"/>
  <c r="O16" i="6" s="1"/>
  <c r="AU16" i="6"/>
  <c r="B17" i="6"/>
  <c r="O17" i="6" s="1"/>
  <c r="AU17" i="6"/>
  <c r="AQ31" i="6"/>
  <c r="B20" i="6"/>
  <c r="AU20" i="6"/>
  <c r="B7" i="6"/>
  <c r="AU7" i="6"/>
  <c r="B9" i="6"/>
  <c r="O9" i="6" s="1"/>
  <c r="AU9" i="6"/>
  <c r="B13" i="6"/>
  <c r="O13" i="6" s="1"/>
  <c r="AU13" i="6"/>
  <c r="B8" i="6"/>
  <c r="AU15" i="6"/>
  <c r="H4" i="6"/>
  <c r="AI31" i="6"/>
  <c r="B14" i="6"/>
  <c r="AU14" i="6"/>
  <c r="B21" i="6"/>
  <c r="O21" i="6" s="1"/>
  <c r="AU21" i="6"/>
  <c r="B26" i="6"/>
  <c r="O26" i="6" s="1"/>
  <c r="AU26" i="6"/>
  <c r="B22" i="6"/>
  <c r="O22" i="6" s="1"/>
  <c r="AU22" i="6"/>
  <c r="B4" i="6"/>
  <c r="AH31" i="6"/>
  <c r="AU4" i="6"/>
  <c r="B25" i="6"/>
  <c r="O25" i="6" s="1"/>
  <c r="AU25" i="6"/>
  <c r="B29" i="6"/>
  <c r="O29" i="6" s="1"/>
  <c r="AU29" i="6"/>
  <c r="N4" i="6"/>
  <c r="N31" i="6" s="1"/>
  <c r="AT31" i="6"/>
  <c r="G4" i="6"/>
  <c r="G31" i="6" s="1"/>
  <c r="AM31" i="6"/>
  <c r="B11" i="6"/>
  <c r="O11" i="6" s="1"/>
  <c r="AU11" i="6"/>
  <c r="L4" i="6"/>
  <c r="L31" i="6" s="1"/>
  <c r="AR31" i="6"/>
  <c r="AL31" i="6"/>
  <c r="B30" i="6"/>
  <c r="O30" i="6" s="1"/>
  <c r="AU30" i="6"/>
  <c r="AK31" i="6"/>
  <c r="B12" i="6"/>
  <c r="O12" i="6" s="1"/>
  <c r="AU12" i="6"/>
  <c r="B27" i="6"/>
  <c r="AU27" i="6"/>
  <c r="B5" i="6"/>
  <c r="B28" i="6"/>
  <c r="O28" i="6" s="1"/>
  <c r="AU28" i="6"/>
  <c r="I4" i="6"/>
  <c r="AO31" i="6"/>
  <c r="B10" i="6"/>
  <c r="M4" i="6"/>
  <c r="M31" i="6" s="1"/>
  <c r="AS31" i="6"/>
  <c r="U22" i="1" a="1"/>
  <c r="U22" i="1" s="1"/>
  <c r="X22" i="1" s="1"/>
  <c r="T24" i="1"/>
  <c r="W24" i="1" s="1"/>
  <c r="U24" i="1" a="1"/>
  <c r="U24" i="1" s="1"/>
  <c r="X24" i="1" s="1"/>
  <c r="U23" i="1" a="1"/>
  <c r="U23" i="1" s="1"/>
  <c r="X23" i="1" s="1"/>
  <c r="T22" i="1"/>
  <c r="W22" i="1" s="1"/>
  <c r="T23" i="1"/>
  <c r="W23" i="1" s="1"/>
  <c r="Q17" i="1"/>
  <c r="O68" i="5"/>
  <c r="AE38" i="6"/>
  <c r="AE40" i="6"/>
  <c r="AE47" i="6"/>
  <c r="AE54" i="6"/>
  <c r="AU35" i="6"/>
  <c r="J35" i="6"/>
  <c r="Z35" i="6" s="1"/>
  <c r="AE56" i="6"/>
  <c r="AE53" i="6"/>
  <c r="AE50" i="6"/>
  <c r="AE60" i="6"/>
  <c r="W62" i="6"/>
  <c r="AC62" i="6"/>
  <c r="AE43" i="6"/>
  <c r="AD62" i="6"/>
  <c r="AE57" i="6"/>
  <c r="AE61" i="6"/>
  <c r="AE44" i="6"/>
  <c r="AE52" i="6"/>
  <c r="AU38" i="6"/>
  <c r="AU59" i="6"/>
  <c r="AU36" i="6"/>
  <c r="AU46" i="6"/>
  <c r="AI62" i="6"/>
  <c r="AU40" i="6"/>
  <c r="AU37" i="6"/>
  <c r="AU47" i="6"/>
  <c r="AQ62" i="6"/>
  <c r="AK62" i="6"/>
  <c r="AU49" i="6"/>
  <c r="AU54" i="6"/>
  <c r="AP62" i="6"/>
  <c r="AU56" i="6"/>
  <c r="AU53" i="6"/>
  <c r="AU51" i="6"/>
  <c r="AU42" i="6"/>
  <c r="AU50" i="6"/>
  <c r="AO62" i="6"/>
  <c r="AU60" i="6"/>
  <c r="AM62" i="6"/>
  <c r="AU48" i="6"/>
  <c r="AU45" i="6"/>
  <c r="AS62" i="6"/>
  <c r="AL62" i="6"/>
  <c r="AU55" i="6"/>
  <c r="AU43" i="6"/>
  <c r="AR62" i="6"/>
  <c r="AU58" i="6"/>
  <c r="AT62" i="6"/>
  <c r="AU57" i="6"/>
  <c r="AU61" i="6"/>
  <c r="AU44" i="6"/>
  <c r="AU52" i="6"/>
  <c r="AH62" i="6"/>
  <c r="U32" i="1" a="1"/>
  <c r="U32" i="1" s="1"/>
  <c r="X32" i="1" s="1"/>
  <c r="U31" i="1" a="1"/>
  <c r="U31" i="1" s="1"/>
  <c r="X31" i="1" s="1"/>
  <c r="U2" i="1" a="1"/>
  <c r="U2" i="1" s="1"/>
  <c r="U3" i="1" a="1"/>
  <c r="U3" i="1" s="1"/>
  <c r="U7" i="1" a="1"/>
  <c r="U7" i="1" s="1"/>
  <c r="U11" i="1" a="1"/>
  <c r="U11" i="1" s="1"/>
  <c r="U15" i="1" a="1"/>
  <c r="U15" i="1" s="1"/>
  <c r="U19" i="1" a="1"/>
  <c r="U19" i="1" s="1"/>
  <c r="X19" i="1" s="1"/>
  <c r="U4" i="1" a="1"/>
  <c r="U4" i="1" s="1"/>
  <c r="U8" i="1" a="1"/>
  <c r="U8" i="1" s="1"/>
  <c r="U12" i="1" a="1"/>
  <c r="U12" i="1" s="1"/>
  <c r="U16" i="1" a="1"/>
  <c r="U16" i="1" s="1"/>
  <c r="U20" i="1" a="1"/>
  <c r="U20" i="1" s="1"/>
  <c r="X20" i="1" s="1"/>
  <c r="U5" i="1" a="1"/>
  <c r="U5" i="1" s="1"/>
  <c r="U9" i="1" a="1"/>
  <c r="U9" i="1" s="1"/>
  <c r="U13" i="1" a="1"/>
  <c r="U13" i="1" s="1"/>
  <c r="U17" i="1" a="1"/>
  <c r="U17" i="1" s="1"/>
  <c r="X17" i="1" s="1"/>
  <c r="U21" i="1" a="1"/>
  <c r="U21" i="1" s="1"/>
  <c r="X21" i="1" s="1"/>
  <c r="U6" i="1" a="1"/>
  <c r="U6" i="1" s="1"/>
  <c r="U10" i="1" a="1"/>
  <c r="U10" i="1" s="1"/>
  <c r="U14" i="1" a="1"/>
  <c r="U14" i="1" s="1"/>
  <c r="U18" i="1" a="1"/>
  <c r="U18" i="1" s="1"/>
  <c r="X18" i="1" s="1"/>
  <c r="T32" i="1"/>
  <c r="W32" i="1" s="1"/>
  <c r="T31" i="1"/>
  <c r="W31" i="1" s="1"/>
  <c r="AE4" i="6"/>
  <c r="AE28" i="6"/>
  <c r="AE18" i="6"/>
  <c r="AE7" i="6"/>
  <c r="AE25" i="6"/>
  <c r="AE14" i="6"/>
  <c r="AE13" i="6"/>
  <c r="Y31" i="6"/>
  <c r="AE15" i="6"/>
  <c r="AC31" i="6"/>
  <c r="Z31" i="6"/>
  <c r="AE22" i="6"/>
  <c r="AE11" i="6"/>
  <c r="AE8" i="6"/>
  <c r="W31" i="6"/>
  <c r="AE29" i="6"/>
  <c r="X31" i="6"/>
  <c r="AE20" i="6"/>
  <c r="AE17" i="6"/>
  <c r="T31" i="6"/>
  <c r="U31" i="6"/>
  <c r="AE5" i="6"/>
  <c r="AE10" i="6"/>
  <c r="AB31" i="6"/>
  <c r="AE27" i="6"/>
  <c r="V31" i="6"/>
  <c r="AE24" i="6"/>
  <c r="AE6" i="6"/>
  <c r="AD31" i="6"/>
  <c r="AE21" i="6"/>
  <c r="AE12" i="6"/>
  <c r="S31" i="6"/>
  <c r="AE9" i="6"/>
  <c r="AE26" i="6"/>
  <c r="R31" i="6"/>
  <c r="AE23" i="6"/>
  <c r="AA31" i="6"/>
  <c r="AE30" i="6"/>
  <c r="AE19" i="6"/>
  <c r="AE16" i="6"/>
  <c r="T20" i="1"/>
  <c r="W20" i="1" s="1"/>
  <c r="T21" i="1"/>
  <c r="W21" i="1" s="1"/>
  <c r="O87" i="5"/>
  <c r="T17" i="1"/>
  <c r="W17" i="1" s="1"/>
  <c r="T18" i="1"/>
  <c r="W18" i="1" s="1"/>
  <c r="T19" i="1"/>
  <c r="W19" i="1" s="1"/>
  <c r="O81" i="5"/>
  <c r="O91" i="5"/>
  <c r="O50" i="6"/>
  <c r="O74" i="5"/>
  <c r="O50" i="5"/>
  <c r="O75" i="5"/>
  <c r="O22" i="5"/>
  <c r="G62" i="5"/>
  <c r="O85" i="5"/>
  <c r="M93" i="5"/>
  <c r="O90" i="5"/>
  <c r="O38" i="5"/>
  <c r="N62" i="6"/>
  <c r="H5" i="7"/>
  <c r="O16" i="5"/>
  <c r="O83" i="5"/>
  <c r="O47" i="6"/>
  <c r="O7" i="5"/>
  <c r="O28" i="5"/>
  <c r="O53" i="6"/>
  <c r="H15" i="7"/>
  <c r="H7" i="7"/>
  <c r="L93" i="5"/>
  <c r="O46" i="5"/>
  <c r="N62" i="5"/>
  <c r="B31" i="5"/>
  <c r="O26" i="5"/>
  <c r="O57" i="6"/>
  <c r="O60" i="6"/>
  <c r="O38" i="6"/>
  <c r="O61" i="6"/>
  <c r="O21" i="5"/>
  <c r="O12" i="5"/>
  <c r="O47" i="5"/>
  <c r="O37" i="5"/>
  <c r="O29" i="5"/>
  <c r="O40" i="5"/>
  <c r="L31" i="5"/>
  <c r="O23" i="5"/>
  <c r="O77" i="5"/>
  <c r="G62" i="6"/>
  <c r="O84" i="5"/>
  <c r="N31" i="5"/>
  <c r="G31" i="5"/>
  <c r="O52" i="5"/>
  <c r="M62" i="5"/>
  <c r="O48" i="5"/>
  <c r="M62" i="6"/>
  <c r="O42" i="5"/>
  <c r="O13" i="5"/>
  <c r="O53" i="5"/>
  <c r="O11" i="5"/>
  <c r="O43" i="5"/>
  <c r="O30" i="5"/>
  <c r="O52" i="6"/>
  <c r="O54" i="5"/>
  <c r="L62" i="5"/>
  <c r="O8" i="5"/>
  <c r="O44" i="5"/>
  <c r="O25" i="5"/>
  <c r="O59" i="5"/>
  <c r="O56" i="6"/>
  <c r="O17" i="5"/>
  <c r="O19" i="5"/>
  <c r="O15" i="5"/>
  <c r="O44" i="6"/>
  <c r="O9" i="5"/>
  <c r="B62" i="5"/>
  <c r="O60" i="5"/>
  <c r="G93" i="5"/>
  <c r="O78" i="5"/>
  <c r="O56" i="5"/>
  <c r="O69" i="5"/>
  <c r="O92" i="5"/>
  <c r="B93" i="5"/>
  <c r="O57" i="5"/>
  <c r="O79" i="5"/>
  <c r="O6" i="5"/>
  <c r="O71" i="5"/>
  <c r="O54" i="6"/>
  <c r="O88" i="5"/>
  <c r="O40" i="6"/>
  <c r="N93" i="5"/>
  <c r="M31" i="5"/>
  <c r="O73" i="5"/>
  <c r="O61" i="5"/>
  <c r="O5" i="5"/>
  <c r="O24" i="5"/>
  <c r="I31" i="5"/>
  <c r="J14" i="5"/>
  <c r="J31" i="5" s="1"/>
  <c r="H31" i="5"/>
  <c r="K18" i="5"/>
  <c r="O18" i="5" s="1"/>
  <c r="F31" i="5"/>
  <c r="O4" i="5"/>
  <c r="C27" i="5"/>
  <c r="E27" i="5"/>
  <c r="E31" i="5" s="1"/>
  <c r="D31" i="5"/>
  <c r="O10" i="5"/>
  <c r="K20" i="5"/>
  <c r="O20" i="5" s="1"/>
  <c r="O12" i="1"/>
  <c r="P12" i="1" s="1"/>
  <c r="L14" i="7" s="1"/>
  <c r="O13" i="1"/>
  <c r="P13" i="1" s="1"/>
  <c r="Q13" i="1" s="1"/>
  <c r="O14" i="1"/>
  <c r="P14" i="1" s="1"/>
  <c r="O15" i="1"/>
  <c r="P15" i="1" s="1"/>
  <c r="O16" i="1"/>
  <c r="P16" i="1" s="1"/>
  <c r="L27" i="7" s="1"/>
  <c r="O2" i="1"/>
  <c r="P2" i="1" s="1"/>
  <c r="O3" i="1"/>
  <c r="P3" i="1" s="1"/>
  <c r="Q3" i="1" s="1"/>
  <c r="B51" i="7" s="1"/>
  <c r="O4" i="1"/>
  <c r="P4" i="1" s="1"/>
  <c r="O5" i="1"/>
  <c r="P5" i="1" s="1"/>
  <c r="Q5" i="1" s="1"/>
  <c r="D51" i="7" s="1"/>
  <c r="O6" i="1"/>
  <c r="P6" i="1" s="1"/>
  <c r="O7" i="1"/>
  <c r="P7" i="1" s="1"/>
  <c r="Q7" i="1" s="1"/>
  <c r="D50" i="7" s="1"/>
  <c r="S16" i="1"/>
  <c r="S12" i="1"/>
  <c r="S3" i="1"/>
  <c r="S2" i="1"/>
  <c r="S6" i="1"/>
  <c r="S13" i="1"/>
  <c r="S10" i="1"/>
  <c r="T2" i="1"/>
  <c r="T3" i="1"/>
  <c r="T9" i="1"/>
  <c r="T15" i="1"/>
  <c r="T14" i="1"/>
  <c r="T4" i="1"/>
  <c r="T10" i="1"/>
  <c r="T16" i="1"/>
  <c r="T5" i="1"/>
  <c r="T11" i="1"/>
  <c r="T8" i="1"/>
  <c r="T6" i="1"/>
  <c r="T12" i="1"/>
  <c r="T7" i="1"/>
  <c r="T13" i="1"/>
  <c r="O9" i="1"/>
  <c r="P9" i="1" s="1"/>
  <c r="Q9" i="1" s="1"/>
  <c r="B48" i="7" s="1"/>
  <c r="S8" i="1"/>
  <c r="O10" i="1"/>
  <c r="P10" i="1" s="1"/>
  <c r="O11" i="1"/>
  <c r="P11" i="1" s="1"/>
  <c r="Q11" i="1" s="1"/>
  <c r="O8" i="1"/>
  <c r="P8" i="1" s="1"/>
  <c r="L20" i="7" l="1"/>
  <c r="L10" i="7"/>
  <c r="L19" i="7"/>
  <c r="L17" i="7"/>
  <c r="L18" i="7"/>
  <c r="L28" i="7"/>
  <c r="L12" i="7"/>
  <c r="X37" i="6"/>
  <c r="L21" i="7"/>
  <c r="L16" i="7"/>
  <c r="T37" i="6"/>
  <c r="O37" i="6"/>
  <c r="T55" i="6"/>
  <c r="X30" i="1"/>
  <c r="AJ41" i="6"/>
  <c r="AJ10" i="6"/>
  <c r="AN10" i="6"/>
  <c r="AN31" i="6" s="1"/>
  <c r="AN41" i="6"/>
  <c r="AN62" i="6" s="1"/>
  <c r="V30" i="1"/>
  <c r="AJ39" i="6"/>
  <c r="D39" i="6" s="1"/>
  <c r="AJ8" i="6"/>
  <c r="Q30" i="1"/>
  <c r="D39" i="5"/>
  <c r="O39" i="5" s="1"/>
  <c r="Q15" i="1"/>
  <c r="K58" i="5"/>
  <c r="K48" i="6"/>
  <c r="AA48" i="6" s="1"/>
  <c r="F48" i="6"/>
  <c r="V48" i="6" s="1"/>
  <c r="L35" i="6"/>
  <c r="L62" i="6" s="1"/>
  <c r="C59" i="6"/>
  <c r="D46" i="6"/>
  <c r="T46" i="6" s="1"/>
  <c r="E59" i="6"/>
  <c r="U59" i="6" s="1"/>
  <c r="D36" i="6"/>
  <c r="T36" i="6" s="1"/>
  <c r="B46" i="6"/>
  <c r="K42" i="6"/>
  <c r="O42" i="6" s="1"/>
  <c r="B31" i="6"/>
  <c r="O7" i="6"/>
  <c r="X9" i="1"/>
  <c r="X15" i="1"/>
  <c r="X14" i="1"/>
  <c r="X7" i="1"/>
  <c r="Q8" i="1"/>
  <c r="L7" i="7"/>
  <c r="Q2" i="1"/>
  <c r="K28" i="7" s="1"/>
  <c r="L4" i="7"/>
  <c r="X5" i="1"/>
  <c r="X11" i="1"/>
  <c r="Q10" i="1"/>
  <c r="K21" i="7" s="1"/>
  <c r="L8" i="7"/>
  <c r="X10" i="1"/>
  <c r="X16" i="1"/>
  <c r="X3" i="1"/>
  <c r="Q14" i="1"/>
  <c r="K20" i="7" s="1"/>
  <c r="X6" i="1"/>
  <c r="X12" i="1"/>
  <c r="X2" i="1"/>
  <c r="Q6" i="1"/>
  <c r="L6" i="7"/>
  <c r="X8" i="1"/>
  <c r="Q16" i="1"/>
  <c r="L11" i="7"/>
  <c r="Q12" i="1"/>
  <c r="L9" i="7"/>
  <c r="X4" i="1"/>
  <c r="Q4" i="1"/>
  <c r="L5" i="7"/>
  <c r="X13" i="1"/>
  <c r="K12" i="7"/>
  <c r="F4" i="7"/>
  <c r="F9" i="7" s="1"/>
  <c r="AE31" i="6"/>
  <c r="H72" i="5"/>
  <c r="F48" i="7"/>
  <c r="H48" i="7" s="1"/>
  <c r="K80" i="5"/>
  <c r="F51" i="7"/>
  <c r="J76" i="5"/>
  <c r="J93" i="5" s="1"/>
  <c r="C30" i="7"/>
  <c r="H30" i="7" s="1"/>
  <c r="H50" i="7"/>
  <c r="H67" i="5"/>
  <c r="B28" i="7"/>
  <c r="H28" i="7" s="1"/>
  <c r="K82" i="5"/>
  <c r="D31" i="7"/>
  <c r="K66" i="5"/>
  <c r="B31" i="7"/>
  <c r="W3" i="1"/>
  <c r="F35" i="5"/>
  <c r="I55" i="5"/>
  <c r="E58" i="5"/>
  <c r="C58" i="5"/>
  <c r="K49" i="5"/>
  <c r="F36" i="5"/>
  <c r="E49" i="5"/>
  <c r="E51" i="5"/>
  <c r="K35" i="5"/>
  <c r="J45" i="5"/>
  <c r="J62" i="5" s="1"/>
  <c r="H41" i="5"/>
  <c r="F45" i="5"/>
  <c r="D41" i="5"/>
  <c r="H36" i="5"/>
  <c r="K51" i="5"/>
  <c r="K31" i="5"/>
  <c r="O14" i="5"/>
  <c r="W14" i="1"/>
  <c r="C31" i="5"/>
  <c r="O27" i="5"/>
  <c r="V12" i="1"/>
  <c r="W15" i="1"/>
  <c r="W13" i="1"/>
  <c r="W12" i="1"/>
  <c r="V13" i="1"/>
  <c r="K18" i="6" s="1"/>
  <c r="V2" i="1"/>
  <c r="W2" i="1"/>
  <c r="W16" i="1"/>
  <c r="W5" i="1"/>
  <c r="V3" i="1"/>
  <c r="K4" i="6" s="1"/>
  <c r="W4" i="1"/>
  <c r="V16" i="1"/>
  <c r="M27" i="7" s="1"/>
  <c r="V15" i="1"/>
  <c r="K27" i="6" s="1"/>
  <c r="V6" i="1"/>
  <c r="W10" i="1"/>
  <c r="V14" i="1"/>
  <c r="V4" i="1"/>
  <c r="V5" i="1"/>
  <c r="K20" i="6" s="1"/>
  <c r="W8" i="1"/>
  <c r="V10" i="1"/>
  <c r="W11" i="1"/>
  <c r="V11" i="1"/>
  <c r="H10" i="6" s="1"/>
  <c r="W9" i="1"/>
  <c r="V9" i="1"/>
  <c r="H5" i="6" s="1"/>
  <c r="V8" i="1"/>
  <c r="W7" i="1"/>
  <c r="W6" i="1"/>
  <c r="V7" i="1"/>
  <c r="J14" i="6" s="1"/>
  <c r="M17" i="7" l="1"/>
  <c r="M10" i="7"/>
  <c r="M14" i="7"/>
  <c r="D45" i="7"/>
  <c r="K10" i="7"/>
  <c r="M20" i="7"/>
  <c r="M16" i="7"/>
  <c r="M28" i="7"/>
  <c r="I86" i="5"/>
  <c r="K27" i="7"/>
  <c r="K19" i="7"/>
  <c r="K17" i="7"/>
  <c r="L3" i="7"/>
  <c r="F45" i="7"/>
  <c r="K14" i="7"/>
  <c r="C89" i="5"/>
  <c r="M18" i="7"/>
  <c r="M21" i="7"/>
  <c r="F66" i="5"/>
  <c r="K18" i="7"/>
  <c r="AE37" i="6"/>
  <c r="M19" i="7"/>
  <c r="M12" i="7"/>
  <c r="C26" i="7"/>
  <c r="K16" i="7"/>
  <c r="E89" i="5"/>
  <c r="AB35" i="6"/>
  <c r="AB62" i="6" s="1"/>
  <c r="F25" i="7"/>
  <c r="D46" i="7"/>
  <c r="D59" i="7" s="1"/>
  <c r="T39" i="6"/>
  <c r="AE39" i="6" s="1"/>
  <c r="AU41" i="6"/>
  <c r="AJ62" i="6"/>
  <c r="AU39" i="6"/>
  <c r="AU10" i="6"/>
  <c r="D8" i="6"/>
  <c r="O8" i="6" s="1"/>
  <c r="AU8" i="6"/>
  <c r="AJ31" i="6"/>
  <c r="B6" i="7"/>
  <c r="E44" i="7"/>
  <c r="E59" i="7" s="1"/>
  <c r="D70" i="5"/>
  <c r="O70" i="5" s="1"/>
  <c r="O39" i="6"/>
  <c r="AA42" i="6"/>
  <c r="AE42" i="6" s="1"/>
  <c r="C45" i="7"/>
  <c r="C51" i="7"/>
  <c r="H51" i="7" s="1"/>
  <c r="F31" i="7"/>
  <c r="H31" i="7" s="1"/>
  <c r="K89" i="5"/>
  <c r="K93" i="5" s="1"/>
  <c r="E49" i="6"/>
  <c r="U49" i="6" s="1"/>
  <c r="K51" i="6"/>
  <c r="AA51" i="6" s="1"/>
  <c r="J45" i="6"/>
  <c r="I55" i="6"/>
  <c r="H36" i="6"/>
  <c r="X36" i="6" s="1"/>
  <c r="F45" i="6"/>
  <c r="V45" i="6" s="1"/>
  <c r="D41" i="6"/>
  <c r="T41" i="6" s="1"/>
  <c r="C58" i="6"/>
  <c r="H41" i="6"/>
  <c r="X41" i="6" s="1"/>
  <c r="K35" i="6"/>
  <c r="AA35" i="6" s="1"/>
  <c r="F36" i="6"/>
  <c r="V36" i="6" s="1"/>
  <c r="E51" i="6"/>
  <c r="U51" i="6" s="1"/>
  <c r="K49" i="6"/>
  <c r="AA49" i="6" s="1"/>
  <c r="F35" i="6"/>
  <c r="V35" i="6" s="1"/>
  <c r="E58" i="6"/>
  <c r="U58" i="6" s="1"/>
  <c r="K58" i="6"/>
  <c r="AA58" i="6" s="1"/>
  <c r="E27" i="6"/>
  <c r="B26" i="7"/>
  <c r="H26" i="7" s="1"/>
  <c r="F76" i="5"/>
  <c r="O76" i="5" s="1"/>
  <c r="E80" i="5"/>
  <c r="O80" i="5" s="1"/>
  <c r="B46" i="7"/>
  <c r="E82" i="5"/>
  <c r="O82" i="5" s="1"/>
  <c r="D25" i="7"/>
  <c r="H25" i="7" s="1"/>
  <c r="E29" i="7"/>
  <c r="H29" i="7" s="1"/>
  <c r="F23" i="7"/>
  <c r="C43" i="7"/>
  <c r="H43" i="7" s="1"/>
  <c r="B49" i="7"/>
  <c r="H49" i="7" s="1"/>
  <c r="AE48" i="6"/>
  <c r="F44" i="7"/>
  <c r="F59" i="7" s="1"/>
  <c r="K8" i="7"/>
  <c r="B16" i="7"/>
  <c r="C27" i="6"/>
  <c r="C31" i="6" s="1"/>
  <c r="D72" i="5"/>
  <c r="D93" i="5" s="1"/>
  <c r="D16" i="7"/>
  <c r="K9" i="7"/>
  <c r="E18" i="6"/>
  <c r="M9" i="7"/>
  <c r="F14" i="6"/>
  <c r="M6" i="7"/>
  <c r="F4" i="6"/>
  <c r="M4" i="7"/>
  <c r="B24" i="7"/>
  <c r="H24" i="7" s="1"/>
  <c r="K11" i="7"/>
  <c r="E3" i="7"/>
  <c r="E9" i="7" s="1"/>
  <c r="F13" i="7"/>
  <c r="F18" i="7" s="1"/>
  <c r="B12" i="7"/>
  <c r="K4" i="7"/>
  <c r="E20" i="6"/>
  <c r="M5" i="7"/>
  <c r="M8" i="7"/>
  <c r="D10" i="6"/>
  <c r="I24" i="6"/>
  <c r="O24" i="6" s="1"/>
  <c r="M11" i="7"/>
  <c r="K5" i="7"/>
  <c r="D14" i="7"/>
  <c r="M7" i="7"/>
  <c r="F5" i="6"/>
  <c r="K6" i="7"/>
  <c r="C14" i="7"/>
  <c r="C18" i="7" s="1"/>
  <c r="F67" i="5"/>
  <c r="O67" i="5" s="1"/>
  <c r="K7" i="7"/>
  <c r="B62" i="6"/>
  <c r="R46" i="6"/>
  <c r="AE46" i="6" s="1"/>
  <c r="O59" i="6"/>
  <c r="S59" i="6"/>
  <c r="AE59" i="6" s="1"/>
  <c r="O46" i="6"/>
  <c r="O48" i="6"/>
  <c r="O43" i="6"/>
  <c r="C39" i="7"/>
  <c r="J31" i="6"/>
  <c r="O45" i="5"/>
  <c r="O36" i="5"/>
  <c r="O31" i="5"/>
  <c r="C62" i="5"/>
  <c r="O58" i="5"/>
  <c r="K62" i="5"/>
  <c r="H62" i="5"/>
  <c r="O51" i="5"/>
  <c r="O55" i="5"/>
  <c r="I62" i="5"/>
  <c r="O41" i="5"/>
  <c r="D62" i="5"/>
  <c r="E62" i="5"/>
  <c r="O49" i="5"/>
  <c r="F62" i="5"/>
  <c r="O35" i="5"/>
  <c r="O89" i="5"/>
  <c r="C93" i="5"/>
  <c r="H93" i="5"/>
  <c r="O66" i="5"/>
  <c r="O86" i="5"/>
  <c r="I93" i="5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M3" i="7" l="1"/>
  <c r="K3" i="7"/>
  <c r="H46" i="7"/>
  <c r="H45" i="7"/>
  <c r="F39" i="7"/>
  <c r="AU62" i="6"/>
  <c r="B9" i="7"/>
  <c r="H6" i="7"/>
  <c r="AU31" i="6"/>
  <c r="H23" i="7"/>
  <c r="H39" i="7" s="1"/>
  <c r="E93" i="5"/>
  <c r="E39" i="7"/>
  <c r="B59" i="7"/>
  <c r="O72" i="5"/>
  <c r="O93" i="5" s="1"/>
  <c r="C59" i="7"/>
  <c r="D39" i="7"/>
  <c r="B18" i="7"/>
  <c r="H44" i="7"/>
  <c r="D18" i="7"/>
  <c r="H16" i="7"/>
  <c r="F93" i="5"/>
  <c r="H14" i="7"/>
  <c r="B39" i="7"/>
  <c r="H13" i="7"/>
  <c r="X62" i="6"/>
  <c r="AE41" i="6"/>
  <c r="V62" i="6"/>
  <c r="AE49" i="6"/>
  <c r="AE51" i="6"/>
  <c r="AA62" i="6"/>
  <c r="U62" i="6"/>
  <c r="AE36" i="6"/>
  <c r="R62" i="6"/>
  <c r="I62" i="6"/>
  <c r="Y55" i="6"/>
  <c r="C62" i="6"/>
  <c r="S58" i="6"/>
  <c r="T62" i="6"/>
  <c r="J62" i="6"/>
  <c r="Z45" i="6"/>
  <c r="Z62" i="6" s="1"/>
  <c r="AE35" i="6"/>
  <c r="O35" i="6"/>
  <c r="I31" i="6"/>
  <c r="O4" i="6"/>
  <c r="O20" i="6"/>
  <c r="O5" i="6"/>
  <c r="K31" i="6"/>
  <c r="H31" i="6"/>
  <c r="F31" i="6"/>
  <c r="O14" i="6"/>
  <c r="O27" i="6"/>
  <c r="O10" i="6"/>
  <c r="E31" i="6"/>
  <c r="O58" i="6"/>
  <c r="K62" i="6"/>
  <c r="O55" i="6"/>
  <c r="O49" i="6"/>
  <c r="F62" i="6"/>
  <c r="O51" i="6"/>
  <c r="H62" i="6"/>
  <c r="O41" i="6"/>
  <c r="O36" i="6"/>
  <c r="D62" i="6"/>
  <c r="H12" i="7"/>
  <c r="H3" i="7"/>
  <c r="O18" i="6"/>
  <c r="H4" i="7"/>
  <c r="D31" i="6"/>
  <c r="E62" i="6"/>
  <c r="O45" i="6"/>
  <c r="O62" i="5"/>
  <c r="H59" i="7" l="1"/>
  <c r="H18" i="7"/>
  <c r="S62" i="6"/>
  <c r="AE58" i="6"/>
  <c r="AE45" i="6"/>
  <c r="AE55" i="6"/>
  <c r="Y62" i="6"/>
  <c r="H9" i="7"/>
  <c r="O31" i="6"/>
  <c r="O62" i="6"/>
  <c r="AE62" i="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</author>
  </authors>
  <commentList>
    <comment ref="Q34" authorId="0" shapeId="0" xr:uid="{5D361356-CE1F-47C1-8B69-A238C38F4472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(T-1) vs (T-2)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</author>
  </authors>
  <commentList>
    <comment ref="C7" authorId="0" shapeId="0" xr:uid="{B2BEC7F9-8428-4C2E-9F38-6CF4D6FCA459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calendar spreads from other than sesasonality</t>
        </r>
      </text>
    </comment>
    <comment ref="C8" authorId="0" shapeId="0" xr:uid="{782F4FD8-994D-4976-A1A9-DFD3AD5E8789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high vols</t>
        </r>
      </text>
    </comment>
    <comment ref="C9" authorId="0" shapeId="0" xr:uid="{F301BD41-D291-4A7B-869B-590F2025F03D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calendar spreads from seasonality</t>
        </r>
      </text>
    </comment>
    <comment ref="C10" authorId="0" shapeId="0" xr:uid="{F50A33E3-5147-4017-8FE5-B4036FFD5E79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reports
index rebal</t>
        </r>
      </text>
    </comment>
    <comment ref="C11" authorId="0" shapeId="0" xr:uid="{BAF926CE-ED02-411C-B7E1-886635332C00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combination of more than two factors</t>
        </r>
      </text>
    </comment>
    <comment ref="C12" authorId="0" shapeId="0" xr:uid="{03C20367-1D79-47A5-B71F-C62EBBABCAF5}">
      <text>
        <r>
          <rPr>
            <b/>
            <sz val="9"/>
            <color indexed="81"/>
            <rFont val="Tahoma"/>
            <family val="2"/>
          </rPr>
          <t>JEAN:</t>
        </r>
        <r>
          <rPr>
            <sz val="9"/>
            <color indexed="81"/>
            <rFont val="Tahoma"/>
            <family val="2"/>
          </rPr>
          <t xml:space="preserve">
breakout (count days)
trends (req stops)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</author>
  </authors>
  <commentList>
    <comment ref="A39" authorId="0" shapeId="0" xr:uid="{2EA64A8C-A9B5-E845-B1F5-908586E85F19}">
      <text>
        <r>
          <rPr>
            <b/>
            <sz val="9"/>
            <color rgb="FF000000"/>
            <rFont val="Tahoma"/>
            <family val="2"/>
          </rPr>
          <t>JEAN: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spot FX
</t>
        </r>
        <r>
          <rPr>
            <sz val="9"/>
            <color rgb="FF000000"/>
            <rFont val="Tahoma"/>
            <family val="2"/>
          </rPr>
          <t>(USDCNH, EURUSD, AUDUSD, USDJPY, USD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<sst xmlns="http://schemas.openxmlformats.org/spreadsheetml/2006/main" count="1433" uniqueCount="319">
  <si>
    <t>DATE</t>
  </si>
  <si>
    <t>day</t>
  </si>
  <si>
    <t>month</t>
  </si>
  <si>
    <t>BO</t>
  </si>
  <si>
    <t>N20</t>
  </si>
  <si>
    <t>price</t>
  </si>
  <si>
    <t>Z20</t>
  </si>
  <si>
    <t>Static Database</t>
  </si>
  <si>
    <t>futures</t>
  </si>
  <si>
    <t>expiry</t>
  </si>
  <si>
    <t>no of month to maturity</t>
  </si>
  <si>
    <t>product</t>
  </si>
  <si>
    <t>ratio</t>
  </si>
  <si>
    <t>F20</t>
  </si>
  <si>
    <t>OS</t>
  </si>
  <si>
    <t>soybean oil</t>
  </si>
  <si>
    <t>CBOT</t>
  </si>
  <si>
    <t>G20</t>
  </si>
  <si>
    <t>PO</t>
  </si>
  <si>
    <t>palm oil</t>
  </si>
  <si>
    <t>CME</t>
  </si>
  <si>
    <t>H20</t>
  </si>
  <si>
    <t>RO</t>
  </si>
  <si>
    <t>ZCE</t>
  </si>
  <si>
    <t>J20</t>
  </si>
  <si>
    <t>SM</t>
  </si>
  <si>
    <t>K20</t>
  </si>
  <si>
    <t>DS</t>
  </si>
  <si>
    <t>China soymeal</t>
  </si>
  <si>
    <t>M20</t>
  </si>
  <si>
    <t>SB</t>
  </si>
  <si>
    <t>GR</t>
  </si>
  <si>
    <t>soybean</t>
  </si>
  <si>
    <t>WH</t>
  </si>
  <si>
    <t>soft wheat</t>
  </si>
  <si>
    <t>Q20</t>
  </si>
  <si>
    <t>KH</t>
  </si>
  <si>
    <t>hard wheat</t>
  </si>
  <si>
    <t>U20</t>
  </si>
  <si>
    <t>CN</t>
  </si>
  <si>
    <t>corn</t>
  </si>
  <si>
    <t>V20</t>
  </si>
  <si>
    <t>POBO</t>
  </si>
  <si>
    <t>palm-bean oil spread</t>
  </si>
  <si>
    <t>1:1</t>
  </si>
  <si>
    <t>DCE</t>
  </si>
  <si>
    <t>X20</t>
  </si>
  <si>
    <t>ROBO</t>
  </si>
  <si>
    <t>rape-bean oil spread</t>
  </si>
  <si>
    <t>WHCN</t>
  </si>
  <si>
    <t>wheat-corn spread</t>
  </si>
  <si>
    <t>F21</t>
  </si>
  <si>
    <t>KHWH</t>
  </si>
  <si>
    <t>kc-chicago wheat spread</t>
  </si>
  <si>
    <t>G21</t>
  </si>
  <si>
    <t>SBCN</t>
  </si>
  <si>
    <t>soybean-corn ratio</t>
  </si>
  <si>
    <t>H21</t>
  </si>
  <si>
    <t>CRSH</t>
  </si>
  <si>
    <t>US soybean crush margin</t>
  </si>
  <si>
    <t>10:11:9</t>
  </si>
  <si>
    <t>J21</t>
  </si>
  <si>
    <t>K21</t>
  </si>
  <si>
    <t>CO</t>
  </si>
  <si>
    <t>EN</t>
  </si>
  <si>
    <t>brent</t>
  </si>
  <si>
    <t>ICE</t>
  </si>
  <si>
    <t>M21</t>
  </si>
  <si>
    <t>CL</t>
  </si>
  <si>
    <t>WTI</t>
  </si>
  <si>
    <t>NYMEX</t>
  </si>
  <si>
    <t>N21</t>
  </si>
  <si>
    <t>GO</t>
  </si>
  <si>
    <t>gasoil</t>
  </si>
  <si>
    <t>Q21</t>
  </si>
  <si>
    <t>HO</t>
  </si>
  <si>
    <t>heating oil</t>
  </si>
  <si>
    <t>U21</t>
  </si>
  <si>
    <t>RB</t>
  </si>
  <si>
    <t>gasoline</t>
  </si>
  <si>
    <t>V21</t>
  </si>
  <si>
    <t>X21</t>
  </si>
  <si>
    <t>COCL</t>
  </si>
  <si>
    <t>brent-wti spread</t>
  </si>
  <si>
    <t>Z21</t>
  </si>
  <si>
    <t>GOCO</t>
  </si>
  <si>
    <t>reverse crack spread</t>
  </si>
  <si>
    <t>4:3</t>
  </si>
  <si>
    <t>F22</t>
  </si>
  <si>
    <t>RBHO</t>
  </si>
  <si>
    <t>US gasoline-diesel spread</t>
  </si>
  <si>
    <t>G22</t>
  </si>
  <si>
    <t>H22</t>
  </si>
  <si>
    <t>CT</t>
  </si>
  <si>
    <t>SF</t>
  </si>
  <si>
    <t>cotton</t>
  </si>
  <si>
    <t>J22</t>
  </si>
  <si>
    <t>SG</t>
  </si>
  <si>
    <t>sugar</t>
  </si>
  <si>
    <t>K22</t>
  </si>
  <si>
    <t>M22</t>
  </si>
  <si>
    <t>CC</t>
  </si>
  <si>
    <t>N22</t>
  </si>
  <si>
    <t>LH</t>
  </si>
  <si>
    <t>lean hog</t>
  </si>
  <si>
    <t>Q22</t>
  </si>
  <si>
    <t>U22</t>
  </si>
  <si>
    <t>GC</t>
  </si>
  <si>
    <t>PM</t>
  </si>
  <si>
    <t>gold</t>
  </si>
  <si>
    <t>V22</t>
  </si>
  <si>
    <t>SI</t>
  </si>
  <si>
    <t>silver</t>
  </si>
  <si>
    <t>X22</t>
  </si>
  <si>
    <t>IO</t>
  </si>
  <si>
    <t>BM</t>
  </si>
  <si>
    <t>iron ore</t>
  </si>
  <si>
    <t>Z22</t>
  </si>
  <si>
    <t>CK</t>
  </si>
  <si>
    <t>coal</t>
  </si>
  <si>
    <t>USD</t>
  </si>
  <si>
    <t>GCSI</t>
  </si>
  <si>
    <t>CNH</t>
  </si>
  <si>
    <t>EUR</t>
  </si>
  <si>
    <t>AUD</t>
  </si>
  <si>
    <t>Exchange</t>
  </si>
  <si>
    <t>MT</t>
  </si>
  <si>
    <t>Session</t>
  </si>
  <si>
    <t>Notional</t>
  </si>
  <si>
    <t>MYR</t>
  </si>
  <si>
    <t>CAD</t>
  </si>
  <si>
    <t>Fees</t>
  </si>
  <si>
    <t>Factor</t>
  </si>
  <si>
    <t>Underlying Contract Description</t>
  </si>
  <si>
    <t>Price</t>
  </si>
  <si>
    <t>DB</t>
  </si>
  <si>
    <t>China soyoil</t>
  </si>
  <si>
    <t>China palm oil</t>
  </si>
  <si>
    <t>soymeal</t>
  </si>
  <si>
    <t>RM</t>
  </si>
  <si>
    <t>FCPO</t>
  </si>
  <si>
    <t>COI</t>
  </si>
  <si>
    <t>CRSM</t>
  </si>
  <si>
    <t>DCC</t>
  </si>
  <si>
    <t>DSM</t>
  </si>
  <si>
    <t>DBY</t>
  </si>
  <si>
    <t>DCP</t>
  </si>
  <si>
    <t>S</t>
  </si>
  <si>
    <t>W</t>
  </si>
  <si>
    <t>KW</t>
  </si>
  <si>
    <t>C</t>
  </si>
  <si>
    <t>Reuters</t>
  </si>
  <si>
    <t>DCIO</t>
  </si>
  <si>
    <t>DCK</t>
  </si>
  <si>
    <t>lot to MT conversion</t>
  </si>
  <si>
    <t>China rape oil</t>
  </si>
  <si>
    <t>China rape meal</t>
  </si>
  <si>
    <t>China corn</t>
  </si>
  <si>
    <t>ctr per lot</t>
  </si>
  <si>
    <t>white sugar</t>
  </si>
  <si>
    <t>WB</t>
  </si>
  <si>
    <t>raw price to $ conversion</t>
  </si>
  <si>
    <t>USD/USc</t>
  </si>
  <si>
    <t>RS</t>
  </si>
  <si>
    <t>canola seeds</t>
  </si>
  <si>
    <t>raw price to USD/MT conversion</t>
  </si>
  <si>
    <t>Fees (USD/lot)</t>
  </si>
  <si>
    <t>Price_0</t>
  </si>
  <si>
    <t>Strategy_ID</t>
  </si>
  <si>
    <t>Contract_ID</t>
  </si>
  <si>
    <t>Trading Contract</t>
  </si>
  <si>
    <t>F/H/K/N/U/Z</t>
  </si>
  <si>
    <t>F/H/K/N/U/X</t>
  </si>
  <si>
    <t>F/K/U</t>
  </si>
  <si>
    <t>F/H/K/N/X</t>
  </si>
  <si>
    <t>G/J/M/Q/V/Z</t>
  </si>
  <si>
    <t>H/K/V</t>
  </si>
  <si>
    <t>contract_ID</t>
  </si>
  <si>
    <t>DP</t>
  </si>
  <si>
    <t>Real_Time</t>
  </si>
  <si>
    <t>MTM_0</t>
  </si>
  <si>
    <t>MTM_-1</t>
  </si>
  <si>
    <t>Price_-1</t>
  </si>
  <si>
    <t>lots</t>
  </si>
  <si>
    <t>Index</t>
  </si>
  <si>
    <t>Stop</t>
  </si>
  <si>
    <t>LV</t>
  </si>
  <si>
    <t>HV</t>
  </si>
  <si>
    <t>Fund</t>
  </si>
  <si>
    <t>Momt</t>
  </si>
  <si>
    <t>Mnrv</t>
  </si>
  <si>
    <t>Even</t>
  </si>
  <si>
    <t>Tech</t>
  </si>
  <si>
    <t>Low Vol</t>
  </si>
  <si>
    <t>High Vol</t>
  </si>
  <si>
    <t>night</t>
  </si>
  <si>
    <t>Currency</t>
  </si>
  <si>
    <t>Family</t>
  </si>
  <si>
    <t>Strategy</t>
  </si>
  <si>
    <t>fund</t>
  </si>
  <si>
    <t>mnrv</t>
  </si>
  <si>
    <t>tech</t>
  </si>
  <si>
    <t>momt</t>
  </si>
  <si>
    <t>Positions Summary</t>
  </si>
  <si>
    <t>Total</t>
  </si>
  <si>
    <t>Metric Tonnes</t>
  </si>
  <si>
    <t>P&amp;L Summary</t>
  </si>
  <si>
    <t>Fundamental</t>
  </si>
  <si>
    <t>Momentum</t>
  </si>
  <si>
    <t>Mean Reversion</t>
  </si>
  <si>
    <t>Event Driven</t>
  </si>
  <si>
    <t>Technical</t>
  </si>
  <si>
    <t>High Volatility Trades</t>
  </si>
  <si>
    <t>Low Volatility Trades</t>
  </si>
  <si>
    <t>Gross Market Value</t>
  </si>
  <si>
    <t>USD Delta Notional</t>
  </si>
  <si>
    <t>Event Type</t>
  </si>
  <si>
    <t>Index Rebalance</t>
  </si>
  <si>
    <t>USDA</t>
  </si>
  <si>
    <t>MPOB</t>
  </si>
  <si>
    <t>NOPA</t>
  </si>
  <si>
    <t>EIA</t>
  </si>
  <si>
    <t>FOMC</t>
  </si>
  <si>
    <t>Mar/Jun/Sep/Dec</t>
  </si>
  <si>
    <t>Monthly</t>
  </si>
  <si>
    <t>Weekly</t>
  </si>
  <si>
    <t>Cofeed</t>
  </si>
  <si>
    <t>Delta</t>
  </si>
  <si>
    <t>Des</t>
  </si>
  <si>
    <t>Frequency</t>
  </si>
  <si>
    <t>1 STD Vol</t>
  </si>
  <si>
    <t>2 STD Vol</t>
  </si>
  <si>
    <t>3 STD Vol</t>
  </si>
  <si>
    <t>Last Input Date</t>
  </si>
  <si>
    <t>index column</t>
  </si>
  <si>
    <t>Risk Metrics</t>
  </si>
  <si>
    <t>Volatility</t>
  </si>
  <si>
    <t>Sector</t>
  </si>
  <si>
    <t>Maturity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</si>
  <si>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</si>
  <si>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</si>
  <si>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</si>
  <si>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</si>
  <si>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</si>
  <si>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</si>
  <si>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</si>
  <si>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</si>
  <si>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</si>
  <si>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</si>
  <si>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</si>
  <si>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</si>
  <si>
    <t>FACTOR RISK</t>
  </si>
  <si>
    <t>Product</t>
  </si>
  <si>
    <t>FUND</t>
  </si>
  <si>
    <t>MOMT</t>
  </si>
  <si>
    <t>MNRV</t>
  </si>
  <si>
    <t>EVEN</t>
  </si>
  <si>
    <t>TECH</t>
  </si>
  <si>
    <t>Mult</t>
  </si>
  <si>
    <t>Multi Factors</t>
  </si>
  <si>
    <t>MULT</t>
  </si>
  <si>
    <t>LV_OS_fund_BO</t>
  </si>
  <si>
    <t>LV_EN_mnrv_GO</t>
  </si>
  <si>
    <t>LV_GR_mnrv_SB</t>
  </si>
  <si>
    <t>LV_OS_fund_PO</t>
  </si>
  <si>
    <t>LV_OS_tech_DP</t>
  </si>
  <si>
    <t>LV_EN_tech_CO</t>
  </si>
  <si>
    <t>LV_PM_momt_GC</t>
  </si>
  <si>
    <t>HV_SF_fund_SG</t>
  </si>
  <si>
    <t>HV_PM_momt_GC</t>
  </si>
  <si>
    <t>LV_GR_mnrv_WH</t>
  </si>
  <si>
    <t>LV_GR_mnrv_CN</t>
  </si>
  <si>
    <t>STRATEGY RISK</t>
  </si>
  <si>
    <t>MATURITY RISK</t>
  </si>
  <si>
    <t>SUMMARY</t>
  </si>
  <si>
    <t>Notional $</t>
  </si>
  <si>
    <t>Delta $</t>
  </si>
  <si>
    <t>P&amp;L $</t>
  </si>
  <si>
    <t>New Trade MTM</t>
  </si>
  <si>
    <t>Price_-2</t>
  </si>
  <si>
    <t>MTM_-2</t>
  </si>
  <si>
    <t>T-1 Fees</t>
  </si>
  <si>
    <t>POGO</t>
  </si>
  <si>
    <t>palm-gasoil spread</t>
  </si>
  <si>
    <t>OISH</t>
  </si>
  <si>
    <t>gold-silver share</t>
  </si>
  <si>
    <t>CNSB</t>
  </si>
  <si>
    <t>canola-soy spread</t>
  </si>
  <si>
    <t>CBOT/ICE</t>
  </si>
  <si>
    <t>CBOT oil share</t>
  </si>
  <si>
    <t>SGWB</t>
  </si>
  <si>
    <t>white-brown sugar spread</t>
  </si>
  <si>
    <t>DCE/ZCE</t>
  </si>
  <si>
    <t>even</t>
  </si>
  <si>
    <t>HV_OS_even_DS</t>
  </si>
  <si>
    <t>HV_OS_momt_PO</t>
  </si>
  <si>
    <t>LV_EN_momt_GO</t>
  </si>
  <si>
    <t>LV_OS_mnrv_RO</t>
  </si>
  <si>
    <t>LV_SF_tech_SG</t>
  </si>
  <si>
    <t>this worksheet is intentionally left blank.</t>
  </si>
  <si>
    <t>T-1 YTD P&amp;L</t>
  </si>
  <si>
    <t>Live YTD P&amp;L</t>
  </si>
  <si>
    <t>T-1 DoD MTM</t>
  </si>
  <si>
    <t>1 STD</t>
  </si>
  <si>
    <t>Max DD</t>
  </si>
  <si>
    <t>Daily DD</t>
  </si>
  <si>
    <t>High Vol Strategies</t>
  </si>
  <si>
    <t>Low Vol Strategies</t>
  </si>
  <si>
    <t>HV_PM_momt_GCSI</t>
  </si>
  <si>
    <t>HV_OS_fund_CRSH</t>
  </si>
  <si>
    <t>Hard &amp; Soft Risk Management Rules</t>
  </si>
  <si>
    <t>% Return</t>
  </si>
  <si>
    <t>De-Risking</t>
  </si>
  <si>
    <t>Profit Taking</t>
  </si>
  <si>
    <t>Loss</t>
  </si>
  <si>
    <t>Gain</t>
  </si>
  <si>
    <t>Low Risk</t>
  </si>
  <si>
    <t>High Risk</t>
  </si>
  <si>
    <t>Commodity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</si>
</sst>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"/>
    <numFmt numFmtId="165" formatCode="_(* #,##0_);_(* \(#,##0\);_(* &quot;-&quot;??_);_(@_)"/>
    <numFmt numFmtId="166" formatCode="0.00000"/>
    <numFmt numFmtId="167" formatCode="0.000000"/>
    <numFmt numFmtId="168" formatCode="_(* #,##0.0000_);_(* \(#,##0.0000\);_(* &quot;-&quot;??_);_(@_)"/>
    <numFmt numFmtId="171" formatCode="0.0%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C00000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b/>
      <sz val="12"/>
      <color rgb="FF002060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002060"/>
      <name val="Calibri"/>
      <family val="2"/>
      <scheme val="minor"/>
    </font>
    <font>
      <sz val="12"/>
      <color rgb="FF0070C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0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5" fontId="5" fillId="0" borderId="0" xfId="0" applyNumberFormat="1" applyFont="1" applyAlignment="1">
      <alignment horizontal="center"/>
    </xf>
    <xf numFmtId="3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20" fontId="5" fillId="0" borderId="0" xfId="0" quotePrefix="1" applyNumberFormat="1" applyFont="1" applyAlignment="1">
      <alignment horizontal="center"/>
    </xf>
    <xf numFmtId="21" fontId="5" fillId="0" borderId="0" xfId="0" quotePrefix="1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43" fontId="0" fillId="0" borderId="0" xfId="1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0" fillId="0" borderId="0" xfId="0" applyBorder="1"/>
    <xf numFmtId="0" fontId="0" fillId="4" borderId="0" xfId="0" applyFill="1"/>
    <xf numFmtId="15" fontId="0" fillId="4" borderId="0" xfId="0" applyNumberFormat="1" applyFill="1"/>
    <xf numFmtId="2" fontId="0" fillId="0" borderId="0" xfId="0" applyNumberFormat="1"/>
    <xf numFmtId="2" fontId="0" fillId="0" borderId="0" xfId="0" applyNumberFormat="1" applyBorder="1"/>
    <xf numFmtId="2" fontId="0" fillId="0" borderId="0" xfId="0" applyNumberFormat="1" applyFill="1" applyBorder="1"/>
    <xf numFmtId="164" fontId="0" fillId="0" borderId="0" xfId="0" applyNumberFormat="1" applyFill="1" applyBorder="1"/>
    <xf numFmtId="0" fontId="0" fillId="0" borderId="2" xfId="0" applyBorder="1"/>
    <xf numFmtId="164" fontId="0" fillId="0" borderId="2" xfId="0" applyNumberFormat="1" applyFill="1" applyBorder="1"/>
    <xf numFmtId="2" fontId="2" fillId="0" borderId="0" xfId="0" applyNumberFormat="1" applyFont="1"/>
    <xf numFmtId="0" fontId="12" fillId="0" borderId="0" xfId="0" applyFont="1"/>
    <xf numFmtId="0" fontId="12" fillId="0" borderId="2" xfId="0" applyFont="1" applyBorder="1"/>
    <xf numFmtId="0" fontId="13" fillId="0" borderId="0" xfId="0" applyFont="1"/>
    <xf numFmtId="1" fontId="0" fillId="0" borderId="0" xfId="0" applyNumberFormat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2" xfId="0" applyFont="1" applyFill="1" applyBorder="1" applyAlignment="1">
      <alignment horizontal="center"/>
    </xf>
    <xf numFmtId="0" fontId="4" fillId="0" borderId="0" xfId="0" applyFont="1"/>
    <xf numFmtId="0" fontId="8" fillId="6" borderId="5" xfId="0" applyFont="1" applyFill="1" applyBorder="1" applyAlignment="1">
      <alignment horizontal="center"/>
    </xf>
    <xf numFmtId="0" fontId="8" fillId="6" borderId="6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165" fontId="0" fillId="0" borderId="0" xfId="1" applyNumberFormat="1" applyFont="1" applyBorder="1"/>
    <xf numFmtId="165" fontId="0" fillId="0" borderId="6" xfId="1" applyNumberFormat="1" applyFont="1" applyBorder="1"/>
    <xf numFmtId="165" fontId="0" fillId="0" borderId="5" xfId="1" applyNumberFormat="1" applyFont="1" applyBorder="1"/>
    <xf numFmtId="165" fontId="0" fillId="0" borderId="3" xfId="1" applyNumberFormat="1" applyFont="1" applyBorder="1"/>
    <xf numFmtId="165" fontId="0" fillId="0" borderId="2" xfId="1" applyNumberFormat="1" applyFont="1" applyBorder="1"/>
    <xf numFmtId="165" fontId="0" fillId="0" borderId="7" xfId="1" applyNumberFormat="1" applyFont="1" applyBorder="1"/>
    <xf numFmtId="168" fontId="0" fillId="0" borderId="0" xfId="1" applyNumberFormat="1" applyFont="1" applyBorder="1"/>
    <xf numFmtId="168" fontId="0" fillId="0" borderId="6" xfId="1" applyNumberFormat="1" applyFont="1" applyBorder="1"/>
    <xf numFmtId="0" fontId="8" fillId="6" borderId="8" xfId="0" applyFont="1" applyFill="1" applyBorder="1" applyAlignment="1">
      <alignment horizontal="center"/>
    </xf>
    <xf numFmtId="3" fontId="0" fillId="0" borderId="0" xfId="0" applyNumberFormat="1" applyBorder="1"/>
    <xf numFmtId="3" fontId="0" fillId="0" borderId="6" xfId="0" applyNumberFormat="1" applyBorder="1"/>
    <xf numFmtId="3" fontId="0" fillId="0" borderId="2" xfId="0" applyNumberFormat="1" applyBorder="1"/>
    <xf numFmtId="3" fontId="0" fillId="0" borderId="7" xfId="0" applyNumberFormat="1" applyBorder="1"/>
    <xf numFmtId="3" fontId="0" fillId="0" borderId="4" xfId="0" applyNumberFormat="1" applyBorder="1"/>
    <xf numFmtId="3" fontId="0" fillId="0" borderId="8" xfId="0" applyNumberFormat="1" applyBorder="1"/>
    <xf numFmtId="3" fontId="0" fillId="0" borderId="5" xfId="0" applyNumberFormat="1" applyBorder="1"/>
    <xf numFmtId="3" fontId="0" fillId="0" borderId="3" xfId="0" applyNumberFormat="1" applyBorder="1"/>
    <xf numFmtId="0" fontId="3" fillId="6" borderId="6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0" fillId="0" borderId="0" xfId="0" applyFont="1"/>
    <xf numFmtId="3" fontId="0" fillId="0" borderId="0" xfId="0" applyNumberFormat="1" applyFont="1" applyBorder="1"/>
    <xf numFmtId="3" fontId="0" fillId="0" borderId="6" xfId="0" applyNumberFormat="1" applyFont="1" applyBorder="1"/>
    <xf numFmtId="3" fontId="0" fillId="0" borderId="5" xfId="0" applyNumberFormat="1" applyFont="1" applyBorder="1"/>
    <xf numFmtId="3" fontId="0" fillId="0" borderId="3" xfId="0" applyNumberFormat="1" applyFont="1" applyBorder="1"/>
    <xf numFmtId="0" fontId="8" fillId="7" borderId="0" xfId="0" applyFont="1" applyFill="1" applyAlignment="1">
      <alignment horizontal="center"/>
    </xf>
    <xf numFmtId="10" fontId="0" fillId="0" borderId="0" xfId="0" applyNumberFormat="1"/>
    <xf numFmtId="9" fontId="0" fillId="0" borderId="0" xfId="0" applyNumberFormat="1"/>
    <xf numFmtId="2" fontId="2" fillId="0" borderId="2" xfId="0" applyNumberFormat="1" applyFont="1" applyBorder="1"/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6" borderId="0" xfId="0" applyFill="1"/>
    <xf numFmtId="0" fontId="13" fillId="8" borderId="0" xfId="0" applyNumberFormat="1" applyFont="1" applyFill="1" applyAlignment="1">
      <alignment horizontal="center"/>
    </xf>
    <xf numFmtId="0" fontId="8" fillId="5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15" fontId="0" fillId="0" borderId="0" xfId="0" applyNumberFormat="1"/>
    <xf numFmtId="0" fontId="3" fillId="6" borderId="9" xfId="0" applyFont="1" applyFill="1" applyBorder="1" applyAlignment="1">
      <alignment horizontal="center"/>
    </xf>
    <xf numFmtId="3" fontId="0" fillId="0" borderId="1" xfId="0" applyNumberFormat="1" applyFont="1" applyBorder="1"/>
    <xf numFmtId="0" fontId="3" fillId="6" borderId="7" xfId="0" applyFont="1" applyFill="1" applyBorder="1" applyAlignment="1">
      <alignment horizontal="center"/>
    </xf>
    <xf numFmtId="3" fontId="0" fillId="0" borderId="2" xfId="0" applyNumberFormat="1" applyFont="1" applyBorder="1"/>
    <xf numFmtId="3" fontId="0" fillId="0" borderId="10" xfId="0" applyNumberFormat="1" applyFont="1" applyBorder="1"/>
    <xf numFmtId="3" fontId="3" fillId="5" borderId="5" xfId="0" applyNumberFormat="1" applyFont="1" applyFill="1" applyBorder="1" applyAlignment="1">
      <alignment horizontal="center"/>
    </xf>
    <xf numFmtId="3" fontId="3" fillId="5" borderId="9" xfId="0" applyNumberFormat="1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15" fontId="0" fillId="8" borderId="0" xfId="0" applyNumberFormat="1" applyFill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20" fontId="5" fillId="0" borderId="2" xfId="0" quotePrefix="1" applyNumberFormat="1" applyFont="1" applyBorder="1" applyAlignment="1">
      <alignment horizontal="center"/>
    </xf>
    <xf numFmtId="20" fontId="5" fillId="0" borderId="2" xfId="0" applyNumberFormat="1" applyFont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0" fillId="0" borderId="5" xfId="0" applyBorder="1"/>
    <xf numFmtId="0" fontId="5" fillId="0" borderId="5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20" fontId="5" fillId="0" borderId="5" xfId="0" applyNumberFormat="1" applyFont="1" applyBorder="1" applyAlignment="1">
      <alignment horizontal="center"/>
    </xf>
    <xf numFmtId="20" fontId="5" fillId="0" borderId="5" xfId="0" quotePrefix="1" applyNumberFormat="1" applyFont="1" applyBorder="1" applyAlignment="1">
      <alignment horizontal="center"/>
    </xf>
    <xf numFmtId="1" fontId="17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43" fontId="17" fillId="0" borderId="0" xfId="1" applyFont="1" applyAlignment="1">
      <alignment horizontal="center"/>
    </xf>
    <xf numFmtId="166" fontId="17" fillId="0" borderId="0" xfId="0" applyNumberFormat="1" applyFont="1" applyAlignment="1">
      <alignment horizontal="center"/>
    </xf>
    <xf numFmtId="167" fontId="17" fillId="0" borderId="0" xfId="0" applyNumberFormat="1" applyFont="1" applyAlignment="1">
      <alignment horizontal="center"/>
    </xf>
    <xf numFmtId="0" fontId="3" fillId="8" borderId="3" xfId="0" applyFont="1" applyFill="1" applyBorder="1" applyAlignment="1">
      <alignment horizontal="center"/>
    </xf>
    <xf numFmtId="0" fontId="18" fillId="0" borderId="0" xfId="0" applyFont="1"/>
    <xf numFmtId="2" fontId="18" fillId="0" borderId="0" xfId="0" applyNumberFormat="1" applyFont="1"/>
    <xf numFmtId="2" fontId="18" fillId="0" borderId="0" xfId="0" applyNumberFormat="1" applyFont="1" applyBorder="1"/>
    <xf numFmtId="2" fontId="18" fillId="0" borderId="0" xfId="0" applyNumberFormat="1" applyFont="1" applyFill="1" applyBorder="1"/>
    <xf numFmtId="164" fontId="18" fillId="0" borderId="0" xfId="0" applyNumberFormat="1" applyFont="1" applyFill="1" applyBorder="1"/>
    <xf numFmtId="164" fontId="18" fillId="0" borderId="2" xfId="0" applyNumberFormat="1" applyFont="1" applyFill="1" applyBorder="1"/>
    <xf numFmtId="0" fontId="18" fillId="0" borderId="0" xfId="0" applyFont="1" applyBorder="1"/>
    <xf numFmtId="0" fontId="18" fillId="0" borderId="2" xfId="0" applyFont="1" applyBorder="1"/>
    <xf numFmtId="0" fontId="19" fillId="0" borderId="0" xfId="0" applyFont="1"/>
    <xf numFmtId="0" fontId="3" fillId="6" borderId="11" xfId="0" applyFont="1" applyFill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3" fontId="0" fillId="0" borderId="4" xfId="0" applyNumberFormat="1" applyFont="1" applyBorder="1"/>
    <xf numFmtId="3" fontId="0" fillId="0" borderId="14" xfId="0" applyNumberFormat="1" applyFont="1" applyBorder="1"/>
    <xf numFmtId="0" fontId="0" fillId="2" borderId="0" xfId="0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0" fontId="3" fillId="7" borderId="11" xfId="0" applyNumberFormat="1" applyFont="1" applyFill="1" applyBorder="1" applyAlignment="1">
      <alignment horizontal="right"/>
    </xf>
    <xf numFmtId="10" fontId="3" fillId="7" borderId="5" xfId="0" applyNumberFormat="1" applyFont="1" applyFill="1" applyBorder="1" applyAlignment="1">
      <alignment horizontal="right"/>
    </xf>
    <xf numFmtId="10" fontId="3" fillId="7" borderId="9" xfId="0" applyNumberFormat="1" applyFont="1" applyFill="1" applyBorder="1" applyAlignment="1">
      <alignment horizontal="right"/>
    </xf>
    <xf numFmtId="0" fontId="5" fillId="0" borderId="0" xfId="0" applyFont="1"/>
    <xf numFmtId="0" fontId="5" fillId="0" borderId="2" xfId="0" applyFont="1" applyBorder="1"/>
    <xf numFmtId="15" fontId="0" fillId="0" borderId="0" xfId="0" applyNumberFormat="1" applyFont="1" applyBorder="1"/>
    <xf numFmtId="0" fontId="0" fillId="0" borderId="0" xfId="0" applyFont="1" applyBorder="1"/>
    <xf numFmtId="0" fontId="3" fillId="0" borderId="0" xfId="0" applyFont="1" applyBorder="1" applyAlignment="1">
      <alignment horizontal="left"/>
    </xf>
    <xf numFmtId="0" fontId="0" fillId="0" borderId="0" xfId="0" quotePrefix="1" applyFont="1" applyBorder="1"/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20" fillId="9" borderId="2" xfId="0" applyFont="1" applyFill="1" applyBorder="1" applyAlignment="1">
      <alignment horizontal="center"/>
    </xf>
    <xf numFmtId="0" fontId="20" fillId="9" borderId="10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/>
    </xf>
    <xf numFmtId="9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6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10" fontId="0" fillId="0" borderId="10" xfId="0" applyNumberFormat="1" applyFont="1" applyBorder="1" applyAlignment="1">
      <alignment horizontal="center"/>
    </xf>
    <xf numFmtId="9" fontId="0" fillId="0" borderId="2" xfId="0" applyNumberFormat="1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9" fontId="0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2" xfId="0" applyFont="1" applyBorder="1"/>
    <xf numFmtId="9" fontId="0" fillId="0" borderId="10" xfId="0" applyNumberFormat="1" applyFont="1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171" fontId="0" fillId="0" borderId="1" xfId="0" applyNumberFormat="1" applyFont="1" applyBorder="1" applyAlignment="1">
      <alignment horizontal="center"/>
    </xf>
    <xf numFmtId="0" fontId="0" fillId="0" borderId="10" xfId="0" applyFont="1" applyBorder="1"/>
    <xf numFmtId="10" fontId="21" fillId="0" borderId="12" xfId="0" applyNumberFormat="1" applyFont="1" applyBorder="1"/>
    <xf numFmtId="10" fontId="21" fillId="0" borderId="0" xfId="0" applyNumberFormat="1" applyFont="1" applyBorder="1"/>
    <xf numFmtId="10" fontId="21" fillId="0" borderId="1" xfId="0" applyNumberFormat="1" applyFont="1" applyBorder="1"/>
    <xf numFmtId="10" fontId="21" fillId="0" borderId="13" xfId="0" applyNumberFormat="1" applyFont="1" applyBorder="1"/>
    <xf numFmtId="10" fontId="21" fillId="0" borderId="2" xfId="0" applyNumberFormat="1" applyFont="1" applyBorder="1"/>
    <xf numFmtId="10" fontId="21" fillId="0" borderId="10" xfId="0" applyNumberFormat="1" applyFont="1" applyBorder="1"/>
    <xf numFmtId="10" fontId="21" fillId="0" borderId="15" xfId="0" applyNumberFormat="1" applyFont="1" applyBorder="1"/>
    <xf numFmtId="10" fontId="21" fillId="0" borderId="4" xfId="0" applyNumberFormat="1" applyFont="1" applyBorder="1"/>
    <xf numFmtId="10" fontId="21" fillId="0" borderId="14" xfId="0" applyNumberFormat="1" applyFont="1" applyBorder="1"/>
    <xf numFmtId="0" fontId="5" fillId="0" borderId="5" xfId="0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65943-EAB5-45AE-9EF0-4E08C3597C28}">
  <sheetPr>
    <tabColor rgb="FFFFC000"/>
  </sheetPr>
  <dimension ref="A1:A135"/>
  <sheetViews>
    <sheetView zoomScale="70" zoomScaleNormal="70" workbookViewId="0">
      <selection activeCell="E17" sqref="E17"/>
    </sheetView>
  </sheetViews>
  <sheetFormatPr defaultColWidth="10.6640625" defaultRowHeight="15.5" x14ac:dyDescent="0.35"/>
  <cols>
    <col min="1" max="104" width="9.6640625" customWidth="1"/>
  </cols>
  <sheetData>
    <row r="1" spans="1:1" x14ac:dyDescent="0.35">
      <c r="A1" s="120" t="s">
        <v>299</v>
      </c>
    </row>
    <row r="102" s="33" customFormat="1" x14ac:dyDescent="0.35"/>
    <row r="126" s="33" customFormat="1" x14ac:dyDescent="0.35"/>
    <row r="135" s="33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69F03-0883-E145-8E58-B87A007481F7}">
  <sheetPr>
    <tabColor rgb="FFFFC000"/>
  </sheetPr>
  <dimension ref="A1:CO135"/>
  <sheetViews>
    <sheetView zoomScale="70" zoomScaleNormal="70" workbookViewId="0">
      <pane xSplit="4" ySplit="1" topLeftCell="AM98" activePane="bottomRight" state="frozen"/>
      <selection pane="topRight" activeCell="E1" sqref="E1"/>
      <selection pane="bottomLeft" activeCell="A2" sqref="A2"/>
      <selection pane="bottomRight" activeCell="AM80" sqref="AM80"/>
    </sheetView>
  </sheetViews>
  <sheetFormatPr defaultColWidth="10.6640625" defaultRowHeight="15.5" x14ac:dyDescent="0.35"/>
  <cols>
    <col min="5" max="44" width="10.5" customWidth="1"/>
    <col min="45" max="104" width="9.6640625" customWidth="1"/>
  </cols>
  <sheetData>
    <row r="1" spans="1:93" x14ac:dyDescent="0.35">
      <c r="A1" s="27" t="s">
        <v>11</v>
      </c>
      <c r="B1" s="27" t="s">
        <v>2</v>
      </c>
      <c r="C1" s="27" t="s">
        <v>177</v>
      </c>
      <c r="D1" s="27" t="s">
        <v>179</v>
      </c>
      <c r="E1" s="28">
        <v>43832</v>
      </c>
      <c r="F1" s="28">
        <f>WORKDAY(E1,1)</f>
        <v>43833</v>
      </c>
      <c r="G1" s="28">
        <f t="shared" ref="G1:BR1" si="0">WORKDAY(F1,1)</f>
        <v>43836</v>
      </c>
      <c r="H1" s="28">
        <f t="shared" si="0"/>
        <v>43837</v>
      </c>
      <c r="I1" s="28">
        <f t="shared" si="0"/>
        <v>43838</v>
      </c>
      <c r="J1" s="28">
        <f t="shared" si="0"/>
        <v>43839</v>
      </c>
      <c r="K1" s="28">
        <f t="shared" si="0"/>
        <v>43840</v>
      </c>
      <c r="L1" s="28">
        <f t="shared" si="0"/>
        <v>43843</v>
      </c>
      <c r="M1" s="28">
        <f t="shared" si="0"/>
        <v>43844</v>
      </c>
      <c r="N1" s="28">
        <f t="shared" si="0"/>
        <v>43845</v>
      </c>
      <c r="O1" s="28">
        <f t="shared" si="0"/>
        <v>43846</v>
      </c>
      <c r="P1" s="28">
        <f t="shared" si="0"/>
        <v>43847</v>
      </c>
      <c r="Q1" s="28">
        <f t="shared" si="0"/>
        <v>43850</v>
      </c>
      <c r="R1" s="28">
        <f t="shared" si="0"/>
        <v>43851</v>
      </c>
      <c r="S1" s="28">
        <f t="shared" si="0"/>
        <v>43852</v>
      </c>
      <c r="T1" s="28">
        <f t="shared" si="0"/>
        <v>43853</v>
      </c>
      <c r="U1" s="28">
        <f t="shared" si="0"/>
        <v>43854</v>
      </c>
      <c r="V1" s="28">
        <f t="shared" si="0"/>
        <v>43857</v>
      </c>
      <c r="W1" s="28">
        <f t="shared" si="0"/>
        <v>43858</v>
      </c>
      <c r="X1" s="28">
        <f t="shared" si="0"/>
        <v>43859</v>
      </c>
      <c r="Y1" s="28">
        <f t="shared" si="0"/>
        <v>43860</v>
      </c>
      <c r="Z1" s="28">
        <f t="shared" si="0"/>
        <v>43861</v>
      </c>
      <c r="AA1" s="28">
        <f t="shared" si="0"/>
        <v>43864</v>
      </c>
      <c r="AB1" s="28">
        <f t="shared" si="0"/>
        <v>43865</v>
      </c>
      <c r="AC1" s="28">
        <f t="shared" si="0"/>
        <v>43866</v>
      </c>
      <c r="AD1" s="28">
        <f t="shared" si="0"/>
        <v>43867</v>
      </c>
      <c r="AE1" s="28">
        <f t="shared" si="0"/>
        <v>43868</v>
      </c>
      <c r="AF1" s="28">
        <f t="shared" si="0"/>
        <v>43871</v>
      </c>
      <c r="AG1" s="28">
        <f t="shared" si="0"/>
        <v>43872</v>
      </c>
      <c r="AH1" s="28">
        <f t="shared" si="0"/>
        <v>43873</v>
      </c>
      <c r="AI1" s="28">
        <f t="shared" si="0"/>
        <v>43874</v>
      </c>
      <c r="AJ1" s="28">
        <f t="shared" si="0"/>
        <v>43875</v>
      </c>
      <c r="AK1" s="28">
        <f t="shared" si="0"/>
        <v>43878</v>
      </c>
      <c r="AL1" s="28">
        <f t="shared" si="0"/>
        <v>43879</v>
      </c>
      <c r="AM1" s="28">
        <f t="shared" si="0"/>
        <v>43880</v>
      </c>
      <c r="AN1" s="28">
        <f t="shared" si="0"/>
        <v>43881</v>
      </c>
      <c r="AO1" s="28">
        <f t="shared" si="0"/>
        <v>43882</v>
      </c>
      <c r="AP1" s="28">
        <f t="shared" si="0"/>
        <v>43885</v>
      </c>
      <c r="AQ1" s="28">
        <f t="shared" si="0"/>
        <v>43886</v>
      </c>
      <c r="AR1" s="28">
        <f t="shared" si="0"/>
        <v>43887</v>
      </c>
      <c r="AS1" s="28">
        <f t="shared" si="0"/>
        <v>43888</v>
      </c>
      <c r="AT1" s="28">
        <f t="shared" si="0"/>
        <v>43889</v>
      </c>
      <c r="AU1" s="28">
        <f t="shared" si="0"/>
        <v>43892</v>
      </c>
      <c r="AV1" s="28">
        <f t="shared" si="0"/>
        <v>43893</v>
      </c>
      <c r="AW1" s="28">
        <f t="shared" si="0"/>
        <v>43894</v>
      </c>
      <c r="AX1" s="28">
        <f t="shared" si="0"/>
        <v>43895</v>
      </c>
      <c r="AY1" s="28">
        <f t="shared" si="0"/>
        <v>43896</v>
      </c>
      <c r="AZ1" s="28">
        <f t="shared" si="0"/>
        <v>43899</v>
      </c>
      <c r="BA1" s="28">
        <f t="shared" si="0"/>
        <v>43900</v>
      </c>
      <c r="BB1" s="28">
        <f t="shared" si="0"/>
        <v>43901</v>
      </c>
      <c r="BC1" s="28">
        <f t="shared" si="0"/>
        <v>43902</v>
      </c>
      <c r="BD1" s="28">
        <f t="shared" si="0"/>
        <v>43903</v>
      </c>
      <c r="BE1" s="28">
        <f t="shared" si="0"/>
        <v>43906</v>
      </c>
      <c r="BF1" s="28">
        <f t="shared" si="0"/>
        <v>43907</v>
      </c>
      <c r="BG1" s="28">
        <f t="shared" si="0"/>
        <v>43908</v>
      </c>
      <c r="BH1" s="28">
        <f t="shared" si="0"/>
        <v>43909</v>
      </c>
      <c r="BI1" s="28">
        <f t="shared" si="0"/>
        <v>43910</v>
      </c>
      <c r="BJ1" s="28">
        <f t="shared" si="0"/>
        <v>43913</v>
      </c>
      <c r="BK1" s="28">
        <f t="shared" si="0"/>
        <v>43914</v>
      </c>
      <c r="BL1" s="28">
        <f t="shared" si="0"/>
        <v>43915</v>
      </c>
      <c r="BM1" s="28">
        <f t="shared" si="0"/>
        <v>43916</v>
      </c>
      <c r="BN1" s="28">
        <f t="shared" si="0"/>
        <v>43917</v>
      </c>
      <c r="BO1" s="28">
        <f t="shared" si="0"/>
        <v>43920</v>
      </c>
      <c r="BP1" s="28">
        <f t="shared" si="0"/>
        <v>43921</v>
      </c>
      <c r="BQ1" s="28">
        <f t="shared" si="0"/>
        <v>43922</v>
      </c>
      <c r="BR1" s="28">
        <f t="shared" si="0"/>
        <v>43923</v>
      </c>
      <c r="BS1" s="28">
        <f t="shared" ref="BS1:CO1" si="1">WORKDAY(BR1,1)</f>
        <v>43924</v>
      </c>
      <c r="BT1" s="28">
        <f t="shared" si="1"/>
        <v>43927</v>
      </c>
      <c r="BU1" s="28">
        <f t="shared" si="1"/>
        <v>43928</v>
      </c>
      <c r="BV1" s="28">
        <f t="shared" si="1"/>
        <v>43929</v>
      </c>
      <c r="BW1" s="28">
        <f t="shared" si="1"/>
        <v>43930</v>
      </c>
      <c r="BX1" s="28">
        <f t="shared" si="1"/>
        <v>43931</v>
      </c>
      <c r="BY1" s="28">
        <f t="shared" si="1"/>
        <v>43934</v>
      </c>
      <c r="BZ1" s="28">
        <f t="shared" si="1"/>
        <v>43935</v>
      </c>
      <c r="CA1" s="28">
        <f t="shared" si="1"/>
        <v>43936</v>
      </c>
      <c r="CB1" s="28">
        <f t="shared" si="1"/>
        <v>43937</v>
      </c>
      <c r="CC1" s="28">
        <f t="shared" si="1"/>
        <v>43938</v>
      </c>
      <c r="CD1" s="28">
        <f t="shared" si="1"/>
        <v>43941</v>
      </c>
      <c r="CE1" s="28">
        <f t="shared" si="1"/>
        <v>43942</v>
      </c>
      <c r="CF1" s="28">
        <f t="shared" si="1"/>
        <v>43943</v>
      </c>
      <c r="CG1" s="28">
        <f t="shared" si="1"/>
        <v>43944</v>
      </c>
      <c r="CH1" s="28">
        <f t="shared" si="1"/>
        <v>43945</v>
      </c>
      <c r="CI1" s="28">
        <f t="shared" si="1"/>
        <v>43948</v>
      </c>
      <c r="CJ1" s="28">
        <f t="shared" si="1"/>
        <v>43949</v>
      </c>
      <c r="CK1" s="28">
        <f t="shared" si="1"/>
        <v>43950</v>
      </c>
      <c r="CL1" s="28">
        <f t="shared" si="1"/>
        <v>43951</v>
      </c>
      <c r="CM1" s="28">
        <f t="shared" si="1"/>
        <v>43952</v>
      </c>
      <c r="CN1" s="28">
        <f t="shared" si="1"/>
        <v>43955</v>
      </c>
      <c r="CO1" s="28">
        <f t="shared" si="1"/>
        <v>43956</v>
      </c>
    </row>
    <row r="2" spans="1:93" x14ac:dyDescent="0.35">
      <c r="A2" t="s">
        <v>122</v>
      </c>
      <c r="C2" s="36" t="str">
        <f t="shared" ref="C2:C7" si="2">A2&amp;B2</f>
        <v>CNH</v>
      </c>
      <c r="D2" s="35">
        <v>6.9505999999999997</v>
      </c>
      <c r="E2">
        <v>6.9386000000000001</v>
      </c>
      <c r="F2">
        <v>6.9672999999999998</v>
      </c>
      <c r="G2">
        <v>6.9657</v>
      </c>
      <c r="H2">
        <v>6.9882999999999997</v>
      </c>
      <c r="I2">
        <v>6.9945000000000004</v>
      </c>
      <c r="J2">
        <v>6.9573</v>
      </c>
      <c r="K2">
        <v>6.9965999999999999</v>
      </c>
      <c r="L2">
        <v>6.9703999999999997</v>
      </c>
      <c r="M2">
        <v>6.9804000000000004</v>
      </c>
      <c r="N2">
        <v>6.9105999999999996</v>
      </c>
      <c r="O2">
        <v>6.9664999999999999</v>
      </c>
      <c r="P2">
        <v>6.9089999999999998</v>
      </c>
      <c r="Q2">
        <v>6.9485000000000001</v>
      </c>
      <c r="R2">
        <v>6.9396000000000004</v>
      </c>
      <c r="S2">
        <v>6.9866000000000001</v>
      </c>
      <c r="T2">
        <v>6.952</v>
      </c>
      <c r="U2">
        <v>6.9531000000000001</v>
      </c>
      <c r="V2">
        <v>6.9108999999999998</v>
      </c>
      <c r="W2">
        <v>6.9191000000000003</v>
      </c>
      <c r="X2">
        <v>6.9767000000000001</v>
      </c>
      <c r="Y2">
        <v>6.9908999999999999</v>
      </c>
      <c r="Z2">
        <v>6.9501999999999997</v>
      </c>
      <c r="AA2">
        <v>6.9709000000000003</v>
      </c>
      <c r="AB2">
        <v>6.9383999999999997</v>
      </c>
      <c r="AC2">
        <v>6.9851999999999999</v>
      </c>
      <c r="AD2">
        <v>6.9653</v>
      </c>
      <c r="AE2">
        <v>6.9245000000000001</v>
      </c>
      <c r="AF2">
        <v>6.9663000000000004</v>
      </c>
      <c r="AG2">
        <v>6.9794</v>
      </c>
      <c r="AH2">
        <v>6.9896000000000003</v>
      </c>
      <c r="AI2">
        <v>6.9565000000000001</v>
      </c>
      <c r="AJ2">
        <v>6.9283999999999999</v>
      </c>
      <c r="AK2">
        <v>6.9782000000000002</v>
      </c>
      <c r="AL2">
        <v>6.9513999999999996</v>
      </c>
      <c r="AM2">
        <v>6.9078999999999997</v>
      </c>
      <c r="AN2">
        <v>6.9645999999999999</v>
      </c>
      <c r="AO2">
        <v>6.9535</v>
      </c>
      <c r="AP2">
        <v>6.9747000000000003</v>
      </c>
      <c r="AQ2">
        <v>6.9505999999999997</v>
      </c>
      <c r="AR2" s="112">
        <f t="shared" ref="AQ2:AR2" ca="1" si="3">RANDBETWEEN(69000,70000)/10000</f>
        <v>6.9028</v>
      </c>
    </row>
    <row r="3" spans="1:93" x14ac:dyDescent="0.35">
      <c r="A3" t="s">
        <v>129</v>
      </c>
      <c r="C3" s="36" t="str">
        <f t="shared" si="2"/>
        <v>MYR</v>
      </c>
      <c r="D3" s="35">
        <v>4.1134000000000004</v>
      </c>
      <c r="E3">
        <v>4.1848999999999998</v>
      </c>
      <c r="F3">
        <v>4.1009000000000002</v>
      </c>
      <c r="G3">
        <v>4.1563999999999997</v>
      </c>
      <c r="H3">
        <v>4.1201999999999996</v>
      </c>
      <c r="I3">
        <v>4.1437999999999997</v>
      </c>
      <c r="J3">
        <v>4.1578999999999997</v>
      </c>
      <c r="K3">
        <v>4.1795999999999998</v>
      </c>
      <c r="L3">
        <v>4.1105</v>
      </c>
      <c r="M3">
        <v>4.1006</v>
      </c>
      <c r="N3">
        <v>4.1317000000000004</v>
      </c>
      <c r="O3">
        <v>4.1393000000000004</v>
      </c>
      <c r="P3">
        <v>4.1071999999999997</v>
      </c>
      <c r="Q3">
        <v>4.1749000000000001</v>
      </c>
      <c r="R3">
        <v>4.1752000000000002</v>
      </c>
      <c r="S3">
        <v>4.1763000000000003</v>
      </c>
      <c r="T3">
        <v>4.1734999999999998</v>
      </c>
      <c r="U3">
        <v>4.1483999999999996</v>
      </c>
      <c r="V3">
        <v>4.1127000000000002</v>
      </c>
      <c r="W3">
        <v>4.1966999999999999</v>
      </c>
      <c r="X3">
        <v>4.1475999999999997</v>
      </c>
      <c r="Y3">
        <v>4.1898</v>
      </c>
      <c r="Z3">
        <v>4.149</v>
      </c>
      <c r="AA3">
        <v>4.1867000000000001</v>
      </c>
      <c r="AB3">
        <v>4.194</v>
      </c>
      <c r="AC3">
        <v>4.1657000000000002</v>
      </c>
      <c r="AD3">
        <v>4.1852</v>
      </c>
      <c r="AE3">
        <v>4.1429999999999998</v>
      </c>
      <c r="AF3">
        <v>4.1143999999999998</v>
      </c>
      <c r="AG3">
        <v>4.1256000000000004</v>
      </c>
      <c r="AH3">
        <v>4.1430999999999996</v>
      </c>
      <c r="AI3">
        <v>4.1673</v>
      </c>
      <c r="AJ3">
        <v>4.1055000000000001</v>
      </c>
      <c r="AK3">
        <v>4.1443000000000003</v>
      </c>
      <c r="AL3">
        <v>4.1925999999999997</v>
      </c>
      <c r="AM3">
        <v>4.1406999999999998</v>
      </c>
      <c r="AN3">
        <v>4.1596000000000002</v>
      </c>
      <c r="AO3">
        <v>4.1885000000000003</v>
      </c>
      <c r="AP3">
        <v>4.1220999999999997</v>
      </c>
      <c r="AQ3">
        <v>4.1134000000000004</v>
      </c>
      <c r="AR3" s="112">
        <f t="shared" ref="AQ3:AR3" ca="1" si="4">RANDBETWEEN(41000,42000)/10000</f>
        <v>4.1917999999999997</v>
      </c>
    </row>
    <row r="4" spans="1:93" x14ac:dyDescent="0.35">
      <c r="A4" t="s">
        <v>130</v>
      </c>
      <c r="C4" s="36" t="str">
        <f t="shared" si="2"/>
        <v>CAD</v>
      </c>
      <c r="D4" s="35">
        <v>1.3401000000000001</v>
      </c>
      <c r="E4">
        <v>1.3038000000000001</v>
      </c>
      <c r="F4">
        <v>1.3137000000000001</v>
      </c>
      <c r="G4">
        <v>1.3238000000000001</v>
      </c>
      <c r="H4">
        <v>1.3915999999999999</v>
      </c>
      <c r="I4">
        <v>1.3845000000000001</v>
      </c>
      <c r="J4">
        <v>1.3805000000000001</v>
      </c>
      <c r="K4">
        <v>1.3321000000000001</v>
      </c>
      <c r="L4">
        <v>1.3042</v>
      </c>
      <c r="M4">
        <v>1.3432999999999999</v>
      </c>
      <c r="N4">
        <v>1.3520000000000001</v>
      </c>
      <c r="O4">
        <v>1.349</v>
      </c>
      <c r="P4">
        <v>1.3592</v>
      </c>
      <c r="Q4">
        <v>1.3861000000000001</v>
      </c>
      <c r="R4">
        <v>1.3597999999999999</v>
      </c>
      <c r="S4">
        <v>1.3091999999999999</v>
      </c>
      <c r="T4">
        <v>1.3938999999999999</v>
      </c>
      <c r="U4">
        <v>1.3534999999999999</v>
      </c>
      <c r="V4">
        <v>1.3089999999999999</v>
      </c>
      <c r="W4">
        <v>1.3422000000000001</v>
      </c>
      <c r="X4">
        <v>1.3596999999999999</v>
      </c>
      <c r="Y4">
        <v>1.3484</v>
      </c>
      <c r="Z4">
        <v>1.3153999999999999</v>
      </c>
      <c r="AA4">
        <v>1.3827</v>
      </c>
      <c r="AB4">
        <v>1.3745000000000001</v>
      </c>
      <c r="AC4">
        <v>1.335</v>
      </c>
      <c r="AD4">
        <v>1.3367</v>
      </c>
      <c r="AE4">
        <v>1.335</v>
      </c>
      <c r="AF4">
        <v>1.3024</v>
      </c>
      <c r="AG4">
        <v>1.3916999999999999</v>
      </c>
      <c r="AH4">
        <v>1.3892</v>
      </c>
      <c r="AI4">
        <v>1.3916999999999999</v>
      </c>
      <c r="AJ4">
        <v>1.3197000000000001</v>
      </c>
      <c r="AK4">
        <v>1.3708</v>
      </c>
      <c r="AL4">
        <v>1.3474999999999999</v>
      </c>
      <c r="AM4">
        <v>1.3861000000000001</v>
      </c>
      <c r="AN4">
        <v>1.3338000000000001</v>
      </c>
      <c r="AO4">
        <v>1.3394999999999999</v>
      </c>
      <c r="AP4">
        <v>1.3108</v>
      </c>
      <c r="AQ4">
        <v>1.3401000000000001</v>
      </c>
      <c r="AR4" s="112">
        <f t="shared" ref="AQ4:AR4" ca="1" si="5">RANDBETWEEN(13000,14000)/10000</f>
        <v>1.3205</v>
      </c>
    </row>
    <row r="5" spans="1:93" x14ac:dyDescent="0.35">
      <c r="A5" t="s">
        <v>124</v>
      </c>
      <c r="C5" s="36" t="str">
        <f t="shared" si="2"/>
        <v>AUD</v>
      </c>
      <c r="D5" s="35">
        <v>77.187799999999996</v>
      </c>
      <c r="E5">
        <v>77.387</v>
      </c>
      <c r="F5">
        <v>77.353200000000001</v>
      </c>
      <c r="G5">
        <v>77.667299999999997</v>
      </c>
      <c r="H5">
        <v>77.822599999999994</v>
      </c>
      <c r="I5">
        <v>77.848299999999995</v>
      </c>
      <c r="J5">
        <v>77.116500000000002</v>
      </c>
      <c r="K5">
        <v>77.891300000000001</v>
      </c>
      <c r="L5">
        <v>77.945499999999996</v>
      </c>
      <c r="M5">
        <v>77.157899999999998</v>
      </c>
      <c r="N5">
        <v>77.634299999999996</v>
      </c>
      <c r="O5">
        <v>77.676299999999998</v>
      </c>
      <c r="P5">
        <v>77.893500000000003</v>
      </c>
      <c r="Q5">
        <v>77.379000000000005</v>
      </c>
      <c r="R5">
        <v>77.640799999999999</v>
      </c>
      <c r="S5">
        <v>77.343800000000002</v>
      </c>
      <c r="T5">
        <v>77.919399999999996</v>
      </c>
      <c r="U5">
        <v>77.441199999999995</v>
      </c>
      <c r="V5">
        <v>77.783900000000003</v>
      </c>
      <c r="W5">
        <v>77.513499999999993</v>
      </c>
      <c r="X5">
        <v>77.958200000000005</v>
      </c>
      <c r="Y5">
        <v>77.0137</v>
      </c>
      <c r="Z5">
        <v>77.691500000000005</v>
      </c>
      <c r="AA5">
        <v>77.772300000000001</v>
      </c>
      <c r="AB5">
        <v>77.650599999999997</v>
      </c>
      <c r="AC5">
        <v>77.201599999999999</v>
      </c>
      <c r="AD5">
        <v>77.575699999999998</v>
      </c>
      <c r="AE5">
        <v>77.601699999999994</v>
      </c>
      <c r="AF5">
        <v>77.327100000000002</v>
      </c>
      <c r="AG5">
        <v>77.986099999999993</v>
      </c>
      <c r="AH5">
        <v>77.799400000000006</v>
      </c>
      <c r="AI5">
        <v>77.872900000000001</v>
      </c>
      <c r="AJ5">
        <v>77.388999999999996</v>
      </c>
      <c r="AK5">
        <v>77.794499999999999</v>
      </c>
      <c r="AL5">
        <v>77.264399999999995</v>
      </c>
      <c r="AM5">
        <v>77.682400000000001</v>
      </c>
      <c r="AN5">
        <v>77.957599999999999</v>
      </c>
      <c r="AO5">
        <v>77.181399999999996</v>
      </c>
      <c r="AP5">
        <v>77.096800000000002</v>
      </c>
      <c r="AQ5">
        <v>77.187799999999996</v>
      </c>
      <c r="AR5" s="112">
        <f t="shared" ref="AQ5:AR5" ca="1" si="6">RANDBETWEEN(770000,780000)/10000</f>
        <v>77.809299999999993</v>
      </c>
    </row>
    <row r="6" spans="1:93" x14ac:dyDescent="0.35">
      <c r="A6" t="s">
        <v>123</v>
      </c>
      <c r="C6" s="36" t="str">
        <f t="shared" ref="C6" si="7">A6&amp;B6</f>
        <v>EUR</v>
      </c>
      <c r="D6" s="35">
        <v>1.2312000000000001</v>
      </c>
      <c r="E6">
        <v>1.2559</v>
      </c>
      <c r="F6">
        <v>1.2552000000000001</v>
      </c>
      <c r="G6">
        <v>1.2791999999999999</v>
      </c>
      <c r="H6">
        <v>1.2315</v>
      </c>
      <c r="I6">
        <v>1.2218</v>
      </c>
      <c r="J6">
        <v>1.2935000000000001</v>
      </c>
      <c r="K6">
        <v>1.2299</v>
      </c>
      <c r="L6">
        <v>1.2815000000000001</v>
      </c>
      <c r="M6">
        <v>1.2114</v>
      </c>
      <c r="N6">
        <v>1.2245999999999999</v>
      </c>
      <c r="O6">
        <v>1.2315</v>
      </c>
      <c r="P6">
        <v>1.2654000000000001</v>
      </c>
      <c r="Q6">
        <v>1.2891999999999999</v>
      </c>
      <c r="R6">
        <v>1.2154</v>
      </c>
      <c r="S6">
        <v>1.2087000000000001</v>
      </c>
      <c r="T6">
        <v>1.2503</v>
      </c>
      <c r="U6">
        <v>1.2775000000000001</v>
      </c>
      <c r="V6">
        <v>1.2216</v>
      </c>
      <c r="W6">
        <v>1.2787999999999999</v>
      </c>
      <c r="X6">
        <v>1.2197</v>
      </c>
      <c r="Y6">
        <v>1.2363</v>
      </c>
      <c r="Z6">
        <v>1.2022999999999999</v>
      </c>
      <c r="AA6">
        <v>1.2290000000000001</v>
      </c>
      <c r="AB6">
        <v>1.2450000000000001</v>
      </c>
      <c r="AC6">
        <v>1.2457</v>
      </c>
      <c r="AD6">
        <v>1.2528999999999999</v>
      </c>
      <c r="AE6">
        <v>1.2613000000000001</v>
      </c>
      <c r="AF6">
        <v>1.2464999999999999</v>
      </c>
      <c r="AG6">
        <v>1.2095</v>
      </c>
      <c r="AH6">
        <v>1.2608999999999999</v>
      </c>
      <c r="AI6">
        <v>1.2402</v>
      </c>
      <c r="AJ6">
        <v>1.2725</v>
      </c>
      <c r="AK6">
        <v>1.2347999999999999</v>
      </c>
      <c r="AL6">
        <v>1.2995000000000001</v>
      </c>
      <c r="AM6">
        <v>1.2169000000000001</v>
      </c>
      <c r="AN6">
        <v>1.2545999999999999</v>
      </c>
      <c r="AO6">
        <v>1.2952999999999999</v>
      </c>
      <c r="AP6">
        <v>1.2467999999999999</v>
      </c>
      <c r="AQ6">
        <v>1.2312000000000001</v>
      </c>
      <c r="AR6" s="112">
        <f t="shared" ref="AQ6:AR6" ca="1" si="8">RANDBETWEEN(12000,13000)/10000</f>
        <v>1.2035</v>
      </c>
    </row>
    <row r="7" spans="1:93" x14ac:dyDescent="0.35">
      <c r="A7" t="s">
        <v>120</v>
      </c>
      <c r="C7" s="36" t="str">
        <f t="shared" si="2"/>
        <v>USD</v>
      </c>
      <c r="D7" s="35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 s="112">
        <v>1</v>
      </c>
    </row>
    <row r="8" spans="1:93" x14ac:dyDescent="0.35">
      <c r="A8" t="s">
        <v>3</v>
      </c>
      <c r="B8" t="s">
        <v>51</v>
      </c>
      <c r="C8" s="36" t="str">
        <f>A8&amp;B8</f>
        <v>BOF21</v>
      </c>
      <c r="D8" s="35">
        <v>30.84</v>
      </c>
      <c r="E8" s="29">
        <v>30.72</v>
      </c>
      <c r="F8" s="29">
        <v>30.47</v>
      </c>
      <c r="G8" s="29">
        <v>30.84</v>
      </c>
      <c r="H8" s="29">
        <v>30.39</v>
      </c>
      <c r="I8" s="29">
        <v>30.75</v>
      </c>
      <c r="J8" s="29">
        <v>31.91</v>
      </c>
      <c r="K8" s="29">
        <v>30.32</v>
      </c>
      <c r="L8" s="29">
        <v>31.34</v>
      </c>
      <c r="M8" s="29">
        <v>31.17</v>
      </c>
      <c r="N8" s="29">
        <v>30.27</v>
      </c>
      <c r="O8" s="29">
        <v>31.6</v>
      </c>
      <c r="P8" s="29">
        <v>30.01</v>
      </c>
      <c r="Q8" s="29">
        <v>31.36</v>
      </c>
      <c r="R8" s="29">
        <v>30.14</v>
      </c>
      <c r="S8" s="29">
        <v>31.54</v>
      </c>
      <c r="T8" s="29">
        <v>30.88</v>
      </c>
      <c r="U8" s="29">
        <v>31.06</v>
      </c>
      <c r="V8" s="29">
        <v>31.08</v>
      </c>
      <c r="W8" s="29">
        <v>30.9</v>
      </c>
      <c r="X8" s="29">
        <v>30.09</v>
      </c>
      <c r="Y8" s="29">
        <v>31.58</v>
      </c>
      <c r="Z8" s="29">
        <v>30.19</v>
      </c>
      <c r="AA8" s="29">
        <v>31.53</v>
      </c>
      <c r="AB8" s="29">
        <v>30.39</v>
      </c>
      <c r="AC8" s="29">
        <v>31.41</v>
      </c>
      <c r="AD8" s="29">
        <v>30.86</v>
      </c>
      <c r="AE8" s="29">
        <v>31.64</v>
      </c>
      <c r="AF8" s="29">
        <v>31.98</v>
      </c>
      <c r="AG8" s="29">
        <v>30.77</v>
      </c>
      <c r="AH8" s="29">
        <v>30.04</v>
      </c>
      <c r="AI8" s="29">
        <v>31.98</v>
      </c>
      <c r="AJ8" s="29">
        <v>31.46</v>
      </c>
      <c r="AK8" s="29">
        <v>31.59</v>
      </c>
      <c r="AL8" s="29">
        <v>30.31</v>
      </c>
      <c r="AM8" s="29">
        <v>31.54</v>
      </c>
      <c r="AN8" s="29">
        <v>31.37</v>
      </c>
      <c r="AO8" s="29">
        <v>30.79</v>
      </c>
      <c r="AP8" s="29">
        <v>30.9</v>
      </c>
      <c r="AQ8" s="29">
        <v>30.84</v>
      </c>
      <c r="AR8" s="113">
        <f t="shared" ref="AQ8:AR13" ca="1" si="9">RANDBETWEEN(3000,3200)/100</f>
        <v>30.68</v>
      </c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</row>
    <row r="9" spans="1:93" x14ac:dyDescent="0.35">
      <c r="A9" t="s">
        <v>3</v>
      </c>
      <c r="B9" t="s">
        <v>21</v>
      </c>
      <c r="C9" s="36" t="str">
        <f>A9&amp;B9</f>
        <v>BOH20</v>
      </c>
      <c r="D9" s="35">
        <v>31.94</v>
      </c>
      <c r="E9" s="29">
        <v>30.26</v>
      </c>
      <c r="F9" s="29">
        <v>31.48</v>
      </c>
      <c r="G9" s="29">
        <v>31.53</v>
      </c>
      <c r="H9" s="29">
        <v>31.83</v>
      </c>
      <c r="I9" s="29">
        <v>31.27</v>
      </c>
      <c r="J9" s="29">
        <v>31.91</v>
      </c>
      <c r="K9" s="29">
        <v>30.04</v>
      </c>
      <c r="L9" s="29">
        <v>31.7</v>
      </c>
      <c r="M9" s="29">
        <v>30.78</v>
      </c>
      <c r="N9" s="29">
        <v>30.06</v>
      </c>
      <c r="O9" s="29">
        <v>31.72</v>
      </c>
      <c r="P9" s="29">
        <v>31.61</v>
      </c>
      <c r="Q9" s="29">
        <v>31.2</v>
      </c>
      <c r="R9" s="29">
        <v>30.21</v>
      </c>
      <c r="S9" s="29">
        <v>30.31</v>
      </c>
      <c r="T9" s="29">
        <v>31.05</v>
      </c>
      <c r="U9" s="29">
        <v>30.6</v>
      </c>
      <c r="V9" s="29">
        <v>31.64</v>
      </c>
      <c r="W9" s="29">
        <v>31.3</v>
      </c>
      <c r="X9" s="29">
        <v>30.05</v>
      </c>
      <c r="Y9" s="29">
        <v>30.98</v>
      </c>
      <c r="Z9" s="29">
        <v>31.24</v>
      </c>
      <c r="AA9" s="29">
        <v>31.94</v>
      </c>
      <c r="AB9" s="29">
        <v>30.54</v>
      </c>
      <c r="AC9" s="29">
        <v>31.97</v>
      </c>
      <c r="AD9" s="29">
        <v>31.2</v>
      </c>
      <c r="AE9" s="29">
        <v>30.32</v>
      </c>
      <c r="AF9" s="29">
        <v>30.72</v>
      </c>
      <c r="AG9" s="29">
        <v>30.34</v>
      </c>
      <c r="AH9" s="29">
        <v>30.78</v>
      </c>
      <c r="AI9" s="29">
        <v>31.91</v>
      </c>
      <c r="AJ9" s="29">
        <v>30.47</v>
      </c>
      <c r="AK9" s="29">
        <v>30.49</v>
      </c>
      <c r="AL9" s="29">
        <v>30.29</v>
      </c>
      <c r="AM9" s="29">
        <v>30.16</v>
      </c>
      <c r="AN9" s="29">
        <v>31.48</v>
      </c>
      <c r="AO9" s="29">
        <v>30.74</v>
      </c>
      <c r="AP9" s="29">
        <v>30.78</v>
      </c>
      <c r="AQ9" s="29">
        <v>31.94</v>
      </c>
      <c r="AR9" s="113">
        <f t="shared" ca="1" si="9"/>
        <v>30.47</v>
      </c>
    </row>
    <row r="10" spans="1:93" x14ac:dyDescent="0.35">
      <c r="A10" t="s">
        <v>3</v>
      </c>
      <c r="B10" t="s">
        <v>26</v>
      </c>
      <c r="C10" s="36" t="str">
        <f t="shared" ref="C10:C42" si="10">A10&amp;B10</f>
        <v>BOK20</v>
      </c>
      <c r="D10" s="35">
        <v>31.5</v>
      </c>
      <c r="E10" s="29">
        <v>31.3</v>
      </c>
      <c r="F10" s="29">
        <v>30.12</v>
      </c>
      <c r="G10" s="29">
        <v>30.74</v>
      </c>
      <c r="H10" s="29">
        <v>31.84</v>
      </c>
      <c r="I10" s="29">
        <v>30.98</v>
      </c>
      <c r="J10" s="29">
        <v>30.98</v>
      </c>
      <c r="K10" s="29">
        <v>30.26</v>
      </c>
      <c r="L10" s="29">
        <v>31</v>
      </c>
      <c r="M10" s="29">
        <v>30.19</v>
      </c>
      <c r="N10" s="29">
        <v>31.74</v>
      </c>
      <c r="O10" s="29">
        <v>31.74</v>
      </c>
      <c r="P10" s="29">
        <v>30.47</v>
      </c>
      <c r="Q10" s="29">
        <v>31.09</v>
      </c>
      <c r="R10" s="29">
        <v>30.79</v>
      </c>
      <c r="S10" s="29">
        <v>31.25</v>
      </c>
      <c r="T10" s="29">
        <v>30.76</v>
      </c>
      <c r="U10" s="29">
        <v>31.74</v>
      </c>
      <c r="V10" s="29">
        <v>30.38</v>
      </c>
      <c r="W10" s="29">
        <v>30.14</v>
      </c>
      <c r="X10" s="29">
        <v>30.53</v>
      </c>
      <c r="Y10" s="29">
        <v>30.41</v>
      </c>
      <c r="Z10" s="29">
        <v>31.29</v>
      </c>
      <c r="AA10" s="29">
        <v>31.46</v>
      </c>
      <c r="AB10" s="29">
        <v>31.49</v>
      </c>
      <c r="AC10" s="29">
        <v>30.05</v>
      </c>
      <c r="AD10" s="29">
        <v>31.5</v>
      </c>
      <c r="AE10" s="29">
        <v>31.53</v>
      </c>
      <c r="AF10" s="29">
        <v>30.63</v>
      </c>
      <c r="AG10" s="29">
        <v>31.22</v>
      </c>
      <c r="AH10" s="29">
        <v>30.18</v>
      </c>
      <c r="AI10" s="29">
        <v>30.8</v>
      </c>
      <c r="AJ10" s="29">
        <v>30.38</v>
      </c>
      <c r="AK10" s="29">
        <v>31.25</v>
      </c>
      <c r="AL10" s="29">
        <v>30.05</v>
      </c>
      <c r="AM10" s="29">
        <v>31.33</v>
      </c>
      <c r="AN10" s="29">
        <v>31.3</v>
      </c>
      <c r="AO10" s="29">
        <v>31.28</v>
      </c>
      <c r="AP10" s="29">
        <v>30.62</v>
      </c>
      <c r="AQ10" s="29">
        <v>31.5</v>
      </c>
      <c r="AR10" s="113">
        <f t="shared" ca="1" si="9"/>
        <v>31.03</v>
      </c>
    </row>
    <row r="11" spans="1:93" x14ac:dyDescent="0.35">
      <c r="A11" t="s">
        <v>3</v>
      </c>
      <c r="B11" t="s">
        <v>4</v>
      </c>
      <c r="C11" s="36" t="str">
        <f t="shared" si="10"/>
        <v>BON20</v>
      </c>
      <c r="D11" s="35">
        <v>31.18</v>
      </c>
      <c r="E11" s="29">
        <v>31.69</v>
      </c>
      <c r="F11" s="29">
        <v>30.26</v>
      </c>
      <c r="G11" s="29">
        <v>31.85</v>
      </c>
      <c r="H11" s="29">
        <v>31.08</v>
      </c>
      <c r="I11" s="29">
        <v>31.26</v>
      </c>
      <c r="J11" s="29">
        <v>31.76</v>
      </c>
      <c r="K11" s="29">
        <v>30.2</v>
      </c>
      <c r="L11" s="29">
        <v>31.63</v>
      </c>
      <c r="M11" s="29">
        <v>31.86</v>
      </c>
      <c r="N11" s="29">
        <v>30.5</v>
      </c>
      <c r="O11" s="29">
        <v>31.13</v>
      </c>
      <c r="P11" s="29">
        <v>31.02</v>
      </c>
      <c r="Q11" s="29">
        <v>31</v>
      </c>
      <c r="R11" s="29">
        <v>31.92</v>
      </c>
      <c r="S11" s="29">
        <v>31.03</v>
      </c>
      <c r="T11" s="29">
        <v>30.51</v>
      </c>
      <c r="U11" s="29">
        <v>31.67</v>
      </c>
      <c r="V11" s="29">
        <v>30.14</v>
      </c>
      <c r="W11" s="29">
        <v>31.6</v>
      </c>
      <c r="X11" s="29">
        <v>30.16</v>
      </c>
      <c r="Y11" s="29">
        <v>31.74</v>
      </c>
      <c r="Z11" s="29">
        <v>31.85</v>
      </c>
      <c r="AA11" s="29">
        <v>30.01</v>
      </c>
      <c r="AB11" s="29">
        <v>30.4</v>
      </c>
      <c r="AC11" s="29">
        <v>31.62</v>
      </c>
      <c r="AD11" s="29">
        <v>31.12</v>
      </c>
      <c r="AE11" s="29">
        <v>30.79</v>
      </c>
      <c r="AF11" s="29">
        <v>31.17</v>
      </c>
      <c r="AG11" s="29">
        <v>30.83</v>
      </c>
      <c r="AH11" s="29">
        <v>31.99</v>
      </c>
      <c r="AI11" s="29">
        <v>31.1</v>
      </c>
      <c r="AJ11" s="29">
        <v>30.72</v>
      </c>
      <c r="AK11" s="29">
        <v>31.64</v>
      </c>
      <c r="AL11" s="29">
        <v>31.08</v>
      </c>
      <c r="AM11" s="29">
        <v>31.38</v>
      </c>
      <c r="AN11" s="29">
        <v>31.92</v>
      </c>
      <c r="AO11" s="29">
        <v>30.13</v>
      </c>
      <c r="AP11" s="29">
        <v>31.17</v>
      </c>
      <c r="AQ11" s="29">
        <v>31.18</v>
      </c>
      <c r="AR11" s="113">
        <f t="shared" ca="1" si="9"/>
        <v>31.09</v>
      </c>
    </row>
    <row r="12" spans="1:93" x14ac:dyDescent="0.35">
      <c r="A12" t="s">
        <v>3</v>
      </c>
      <c r="B12" t="s">
        <v>38</v>
      </c>
      <c r="C12" s="36" t="str">
        <f t="shared" si="10"/>
        <v>BOU20</v>
      </c>
      <c r="D12" s="35">
        <v>30.29</v>
      </c>
      <c r="E12" s="29">
        <v>30.43</v>
      </c>
      <c r="F12" s="29">
        <v>31.36</v>
      </c>
      <c r="G12" s="29">
        <v>30.07</v>
      </c>
      <c r="H12" s="29">
        <v>31.18</v>
      </c>
      <c r="I12" s="29">
        <v>30.84</v>
      </c>
      <c r="J12" s="29">
        <v>31.3</v>
      </c>
      <c r="K12" s="29">
        <v>30.93</v>
      </c>
      <c r="L12" s="29">
        <v>30.44</v>
      </c>
      <c r="M12" s="29">
        <v>30.77</v>
      </c>
      <c r="N12" s="29">
        <v>31.48</v>
      </c>
      <c r="O12" s="29">
        <v>31.88</v>
      </c>
      <c r="P12" s="29">
        <v>31.56</v>
      </c>
      <c r="Q12" s="29">
        <v>31.09</v>
      </c>
      <c r="R12" s="29">
        <v>30.15</v>
      </c>
      <c r="S12" s="29">
        <v>30.67</v>
      </c>
      <c r="T12" s="29">
        <v>30.65</v>
      </c>
      <c r="U12" s="29">
        <v>31.99</v>
      </c>
      <c r="V12" s="29">
        <v>30.46</v>
      </c>
      <c r="W12" s="29">
        <v>30.93</v>
      </c>
      <c r="X12" s="29">
        <v>31.15</v>
      </c>
      <c r="Y12" s="29">
        <v>31.78</v>
      </c>
      <c r="Z12" s="29">
        <v>30.23</v>
      </c>
      <c r="AA12" s="29">
        <v>30</v>
      </c>
      <c r="AB12" s="29">
        <v>31.35</v>
      </c>
      <c r="AC12" s="29">
        <v>31.03</v>
      </c>
      <c r="AD12" s="29">
        <v>31.4</v>
      </c>
      <c r="AE12" s="29">
        <v>30.85</v>
      </c>
      <c r="AF12" s="29">
        <v>30.41</v>
      </c>
      <c r="AG12" s="29">
        <v>31.45</v>
      </c>
      <c r="AH12" s="29">
        <v>30.5</v>
      </c>
      <c r="AI12" s="29">
        <v>31.72</v>
      </c>
      <c r="AJ12" s="29">
        <v>31.75</v>
      </c>
      <c r="AK12" s="29">
        <v>31.4</v>
      </c>
      <c r="AL12" s="29">
        <v>31.11</v>
      </c>
      <c r="AM12" s="29">
        <v>31.71</v>
      </c>
      <c r="AN12" s="29">
        <v>31.19</v>
      </c>
      <c r="AO12" s="29">
        <v>30.47</v>
      </c>
      <c r="AP12" s="29">
        <v>31.22</v>
      </c>
      <c r="AQ12" s="29">
        <v>30.29</v>
      </c>
      <c r="AR12" s="113">
        <f t="shared" ca="1" si="9"/>
        <v>31.34</v>
      </c>
    </row>
    <row r="13" spans="1:93" x14ac:dyDescent="0.35">
      <c r="A13" t="s">
        <v>3</v>
      </c>
      <c r="B13" t="s">
        <v>6</v>
      </c>
      <c r="C13" s="36" t="str">
        <f t="shared" si="10"/>
        <v>BOZ20</v>
      </c>
      <c r="D13" s="35">
        <v>32.01</v>
      </c>
      <c r="E13" s="29">
        <v>30.62</v>
      </c>
      <c r="F13" s="29">
        <v>30.6</v>
      </c>
      <c r="G13" s="29">
        <v>31.33</v>
      </c>
      <c r="H13" s="29">
        <v>31.02</v>
      </c>
      <c r="I13" s="29">
        <v>30.52</v>
      </c>
      <c r="J13" s="29">
        <v>31.99</v>
      </c>
      <c r="K13" s="29">
        <v>30.62</v>
      </c>
      <c r="L13" s="29">
        <v>31</v>
      </c>
      <c r="M13" s="29">
        <v>30.94</v>
      </c>
      <c r="N13" s="29">
        <v>30.66</v>
      </c>
      <c r="O13" s="29">
        <v>30.47</v>
      </c>
      <c r="P13" s="29">
        <v>30.89</v>
      </c>
      <c r="Q13" s="29">
        <v>30.88</v>
      </c>
      <c r="R13" s="29">
        <v>30.5</v>
      </c>
      <c r="S13" s="29">
        <v>30.15</v>
      </c>
      <c r="T13" s="29">
        <v>30.23</v>
      </c>
      <c r="U13" s="29">
        <v>30.5</v>
      </c>
      <c r="V13" s="29">
        <v>31.01</v>
      </c>
      <c r="W13" s="29">
        <v>30.44</v>
      </c>
      <c r="X13" s="29">
        <v>31.73</v>
      </c>
      <c r="Y13" s="29">
        <v>31.39</v>
      </c>
      <c r="Z13" s="29">
        <v>30.1</v>
      </c>
      <c r="AA13" s="29">
        <v>30.02</v>
      </c>
      <c r="AB13" s="29">
        <v>31.39</v>
      </c>
      <c r="AC13" s="29">
        <v>30.99</v>
      </c>
      <c r="AD13" s="29">
        <v>31.54</v>
      </c>
      <c r="AE13" s="29">
        <v>31.44</v>
      </c>
      <c r="AF13" s="29">
        <v>31.81</v>
      </c>
      <c r="AG13" s="29">
        <v>30.19</v>
      </c>
      <c r="AH13" s="29">
        <v>30.64</v>
      </c>
      <c r="AI13" s="29">
        <v>30.8</v>
      </c>
      <c r="AJ13" s="29">
        <v>31.93</v>
      </c>
      <c r="AK13" s="29">
        <v>30.18</v>
      </c>
      <c r="AL13" s="29">
        <v>31.69</v>
      </c>
      <c r="AM13" s="29">
        <v>30.86</v>
      </c>
      <c r="AN13" s="29">
        <v>31.19</v>
      </c>
      <c r="AO13" s="29">
        <v>31.89</v>
      </c>
      <c r="AP13" s="29">
        <v>31.86</v>
      </c>
      <c r="AQ13" s="29">
        <v>32.01</v>
      </c>
      <c r="AR13" s="113">
        <f t="shared" ca="1" si="9"/>
        <v>31.89</v>
      </c>
    </row>
    <row r="14" spans="1:93" x14ac:dyDescent="0.35">
      <c r="A14" t="s">
        <v>18</v>
      </c>
      <c r="B14" t="s">
        <v>51</v>
      </c>
      <c r="C14" s="36" t="str">
        <f t="shared" si="10"/>
        <v>POF21</v>
      </c>
      <c r="D14" s="35">
        <v>2306</v>
      </c>
      <c r="E14" s="29">
        <v>2743</v>
      </c>
      <c r="F14" s="29">
        <v>2324</v>
      </c>
      <c r="G14" s="29">
        <v>2571</v>
      </c>
      <c r="H14" s="29">
        <v>2754</v>
      </c>
      <c r="I14" s="29">
        <v>2550</v>
      </c>
      <c r="J14" s="29">
        <v>2401</v>
      </c>
      <c r="K14" s="29">
        <v>2754</v>
      </c>
      <c r="L14" s="29">
        <v>2807</v>
      </c>
      <c r="M14" s="29">
        <v>2918</v>
      </c>
      <c r="N14" s="29">
        <v>2771</v>
      </c>
      <c r="O14" s="29">
        <v>2776</v>
      </c>
      <c r="P14" s="29">
        <v>2768</v>
      </c>
      <c r="Q14" s="29">
        <v>2726</v>
      </c>
      <c r="R14" s="29">
        <v>2798</v>
      </c>
      <c r="S14" s="29">
        <v>2415</v>
      </c>
      <c r="T14" s="29">
        <v>2562</v>
      </c>
      <c r="U14" s="29">
        <v>2480</v>
      </c>
      <c r="V14" s="29">
        <v>2479</v>
      </c>
      <c r="W14" s="29">
        <v>2341</v>
      </c>
      <c r="X14" s="29">
        <v>2644</v>
      </c>
      <c r="Y14" s="29">
        <v>2342</v>
      </c>
      <c r="Z14" s="29">
        <v>2579</v>
      </c>
      <c r="AA14" s="29">
        <v>2913</v>
      </c>
      <c r="AB14" s="29">
        <v>2719</v>
      </c>
      <c r="AC14" s="29">
        <v>2753</v>
      </c>
      <c r="AD14" s="29">
        <v>2345</v>
      </c>
      <c r="AE14" s="29">
        <v>2378</v>
      </c>
      <c r="AF14" s="29">
        <v>2748</v>
      </c>
      <c r="AG14" s="29">
        <v>2557</v>
      </c>
      <c r="AH14" s="29">
        <v>2694</v>
      </c>
      <c r="AI14" s="29">
        <v>2813</v>
      </c>
      <c r="AJ14" s="29">
        <v>2628</v>
      </c>
      <c r="AK14" s="29">
        <v>2949</v>
      </c>
      <c r="AL14" s="29">
        <v>2440</v>
      </c>
      <c r="AM14" s="29">
        <v>2556</v>
      </c>
      <c r="AN14" s="29">
        <v>2865</v>
      </c>
      <c r="AO14" s="29">
        <v>2641</v>
      </c>
      <c r="AP14" s="29">
        <v>2925</v>
      </c>
      <c r="AQ14" s="29">
        <v>2306</v>
      </c>
      <c r="AR14" s="113">
        <f t="shared" ref="AQ14:AR19" ca="1" si="11">RANDBETWEEN(2300,3000)</f>
        <v>2968</v>
      </c>
    </row>
    <row r="15" spans="1:93" x14ac:dyDescent="0.35">
      <c r="A15" t="s">
        <v>18</v>
      </c>
      <c r="B15" t="s">
        <v>21</v>
      </c>
      <c r="C15" s="36" t="str">
        <f t="shared" si="10"/>
        <v>POH20</v>
      </c>
      <c r="D15" s="35">
        <v>2605</v>
      </c>
      <c r="E15" s="29">
        <v>2617</v>
      </c>
      <c r="F15" s="29">
        <v>2366</v>
      </c>
      <c r="G15" s="29">
        <v>2756</v>
      </c>
      <c r="H15" s="29">
        <v>2454</v>
      </c>
      <c r="I15" s="29">
        <v>2329</v>
      </c>
      <c r="J15" s="29">
        <v>2698</v>
      </c>
      <c r="K15" s="29">
        <v>2938</v>
      </c>
      <c r="L15" s="29">
        <v>2747</v>
      </c>
      <c r="M15" s="29">
        <v>2636</v>
      </c>
      <c r="N15" s="29">
        <v>2774</v>
      </c>
      <c r="O15" s="29">
        <v>2896</v>
      </c>
      <c r="P15" s="29">
        <v>2540</v>
      </c>
      <c r="Q15" s="29">
        <v>2916</v>
      </c>
      <c r="R15" s="29">
        <v>2631</v>
      </c>
      <c r="S15" s="29">
        <v>2652</v>
      </c>
      <c r="T15" s="29">
        <v>2693</v>
      </c>
      <c r="U15" s="29">
        <v>2713</v>
      </c>
      <c r="V15" s="29">
        <v>2425</v>
      </c>
      <c r="W15" s="29">
        <v>2748</v>
      </c>
      <c r="X15" s="29">
        <v>2637</v>
      </c>
      <c r="Y15" s="29">
        <v>2428</v>
      </c>
      <c r="Z15" s="29">
        <v>2969</v>
      </c>
      <c r="AA15" s="29">
        <v>2934</v>
      </c>
      <c r="AB15" s="29">
        <v>2533</v>
      </c>
      <c r="AC15" s="29">
        <v>2337</v>
      </c>
      <c r="AD15" s="29">
        <v>2861</v>
      </c>
      <c r="AE15" s="29">
        <v>2392</v>
      </c>
      <c r="AF15" s="29">
        <v>2366</v>
      </c>
      <c r="AG15" s="29">
        <v>2956</v>
      </c>
      <c r="AH15" s="29">
        <v>2799</v>
      </c>
      <c r="AI15" s="29">
        <v>2978</v>
      </c>
      <c r="AJ15" s="29">
        <v>2806</v>
      </c>
      <c r="AK15" s="29">
        <v>2799</v>
      </c>
      <c r="AL15" s="29">
        <v>2880</v>
      </c>
      <c r="AM15" s="29">
        <v>2967</v>
      </c>
      <c r="AN15" s="29">
        <v>2332</v>
      </c>
      <c r="AO15" s="29">
        <v>2790</v>
      </c>
      <c r="AP15" s="29">
        <v>2622</v>
      </c>
      <c r="AQ15" s="29">
        <v>2605</v>
      </c>
      <c r="AR15" s="113">
        <f t="shared" ca="1" si="11"/>
        <v>2820</v>
      </c>
    </row>
    <row r="16" spans="1:93" x14ac:dyDescent="0.35">
      <c r="A16" t="s">
        <v>18</v>
      </c>
      <c r="B16" t="s">
        <v>26</v>
      </c>
      <c r="C16" s="36" t="str">
        <f t="shared" si="10"/>
        <v>POK20</v>
      </c>
      <c r="D16" s="35">
        <v>2745</v>
      </c>
      <c r="E16" s="29">
        <v>2902</v>
      </c>
      <c r="F16" s="29">
        <v>2948</v>
      </c>
      <c r="G16" s="29">
        <v>2695</v>
      </c>
      <c r="H16" s="29">
        <v>2910</v>
      </c>
      <c r="I16" s="29">
        <v>2509</v>
      </c>
      <c r="J16" s="29">
        <v>2705</v>
      </c>
      <c r="K16" s="29">
        <v>2665</v>
      </c>
      <c r="L16" s="29">
        <v>2761</v>
      </c>
      <c r="M16" s="29">
        <v>2400</v>
      </c>
      <c r="N16" s="29">
        <v>2923</v>
      </c>
      <c r="O16" s="29">
        <v>2681</v>
      </c>
      <c r="P16" s="29">
        <v>2965</v>
      </c>
      <c r="Q16" s="29">
        <v>2714</v>
      </c>
      <c r="R16" s="29">
        <v>2777</v>
      </c>
      <c r="S16" s="29">
        <v>2411</v>
      </c>
      <c r="T16" s="29">
        <v>2747</v>
      </c>
      <c r="U16" s="29">
        <v>2502</v>
      </c>
      <c r="V16" s="29">
        <v>2342</v>
      </c>
      <c r="W16" s="29">
        <v>2952</v>
      </c>
      <c r="X16" s="29">
        <v>2949</v>
      </c>
      <c r="Y16" s="29">
        <v>2963</v>
      </c>
      <c r="Z16" s="29">
        <v>2843</v>
      </c>
      <c r="AA16" s="29">
        <v>2489</v>
      </c>
      <c r="AB16" s="29">
        <v>2397</v>
      </c>
      <c r="AC16" s="29">
        <v>2330</v>
      </c>
      <c r="AD16" s="29">
        <v>2528</v>
      </c>
      <c r="AE16" s="29">
        <v>2988</v>
      </c>
      <c r="AF16" s="29">
        <v>2693</v>
      </c>
      <c r="AG16" s="29">
        <v>2328</v>
      </c>
      <c r="AH16" s="29">
        <v>2498</v>
      </c>
      <c r="AI16" s="29">
        <v>2394</v>
      </c>
      <c r="AJ16" s="29">
        <v>2880</v>
      </c>
      <c r="AK16" s="29">
        <v>2815</v>
      </c>
      <c r="AL16" s="29">
        <v>2694</v>
      </c>
      <c r="AM16" s="29">
        <v>2622</v>
      </c>
      <c r="AN16" s="29">
        <v>2906</v>
      </c>
      <c r="AO16" s="29">
        <v>2618</v>
      </c>
      <c r="AP16" s="29">
        <v>2333</v>
      </c>
      <c r="AQ16" s="29">
        <v>2745</v>
      </c>
      <c r="AR16" s="113">
        <f t="shared" ca="1" si="11"/>
        <v>2944</v>
      </c>
    </row>
    <row r="17" spans="1:44" x14ac:dyDescent="0.35">
      <c r="A17" t="s">
        <v>18</v>
      </c>
      <c r="B17" t="s">
        <v>4</v>
      </c>
      <c r="C17" s="36" t="str">
        <f t="shared" si="10"/>
        <v>PON20</v>
      </c>
      <c r="D17" s="35">
        <v>2544</v>
      </c>
      <c r="E17" s="29">
        <v>2998</v>
      </c>
      <c r="F17" s="29">
        <v>2758</v>
      </c>
      <c r="G17" s="29">
        <v>2698</v>
      </c>
      <c r="H17" s="29">
        <v>2332</v>
      </c>
      <c r="I17" s="29">
        <v>2835</v>
      </c>
      <c r="J17" s="29">
        <v>2306</v>
      </c>
      <c r="K17" s="29">
        <v>2815</v>
      </c>
      <c r="L17" s="29">
        <v>2731</v>
      </c>
      <c r="M17" s="29">
        <v>2989</v>
      </c>
      <c r="N17" s="29">
        <v>2609</v>
      </c>
      <c r="O17" s="29">
        <v>2486</v>
      </c>
      <c r="P17" s="29">
        <v>2701</v>
      </c>
      <c r="Q17" s="29">
        <v>2600</v>
      </c>
      <c r="R17" s="29">
        <v>2992</v>
      </c>
      <c r="S17" s="29">
        <v>2457</v>
      </c>
      <c r="T17" s="29">
        <v>2435</v>
      </c>
      <c r="U17" s="29">
        <v>2604</v>
      </c>
      <c r="V17" s="29">
        <v>2328</v>
      </c>
      <c r="W17" s="29">
        <v>2689</v>
      </c>
      <c r="X17" s="29">
        <v>2954</v>
      </c>
      <c r="Y17" s="29">
        <v>2626</v>
      </c>
      <c r="Z17" s="29">
        <v>2435</v>
      </c>
      <c r="AA17" s="29">
        <v>2612</v>
      </c>
      <c r="AB17" s="29">
        <v>2579</v>
      </c>
      <c r="AC17" s="29">
        <v>2754</v>
      </c>
      <c r="AD17" s="29">
        <v>2990</v>
      </c>
      <c r="AE17" s="29">
        <v>2795</v>
      </c>
      <c r="AF17" s="29">
        <v>2865</v>
      </c>
      <c r="AG17" s="29">
        <v>2351</v>
      </c>
      <c r="AH17" s="29">
        <v>2643</v>
      </c>
      <c r="AI17" s="29">
        <v>2851</v>
      </c>
      <c r="AJ17" s="29">
        <v>2330</v>
      </c>
      <c r="AK17" s="29">
        <v>2784</v>
      </c>
      <c r="AL17" s="29">
        <v>2863</v>
      </c>
      <c r="AM17" s="29">
        <v>2842</v>
      </c>
      <c r="AN17" s="29">
        <v>2677</v>
      </c>
      <c r="AO17" s="29">
        <v>2655</v>
      </c>
      <c r="AP17" s="29">
        <v>2319</v>
      </c>
      <c r="AQ17" s="29">
        <v>2544</v>
      </c>
      <c r="AR17" s="113">
        <f t="shared" ca="1" si="11"/>
        <v>2754</v>
      </c>
    </row>
    <row r="18" spans="1:44" x14ac:dyDescent="0.35">
      <c r="A18" t="s">
        <v>18</v>
      </c>
      <c r="B18" t="s">
        <v>38</v>
      </c>
      <c r="C18" s="36" t="str">
        <f t="shared" si="10"/>
        <v>POU20</v>
      </c>
      <c r="D18" s="35">
        <v>2465</v>
      </c>
      <c r="E18" s="29">
        <v>2553</v>
      </c>
      <c r="F18" s="29">
        <v>2950</v>
      </c>
      <c r="G18" s="29">
        <v>2696</v>
      </c>
      <c r="H18" s="29">
        <v>2309</v>
      </c>
      <c r="I18" s="29">
        <v>2961</v>
      </c>
      <c r="J18" s="29">
        <v>2686</v>
      </c>
      <c r="K18" s="29">
        <v>2898</v>
      </c>
      <c r="L18" s="29">
        <v>2874</v>
      </c>
      <c r="M18" s="29">
        <v>2315</v>
      </c>
      <c r="N18" s="29">
        <v>2481</v>
      </c>
      <c r="O18" s="29">
        <v>2422</v>
      </c>
      <c r="P18" s="29">
        <v>2765</v>
      </c>
      <c r="Q18" s="29">
        <v>2659</v>
      </c>
      <c r="R18" s="29">
        <v>2398</v>
      </c>
      <c r="S18" s="29">
        <v>2904</v>
      </c>
      <c r="T18" s="29">
        <v>2780</v>
      </c>
      <c r="U18" s="29">
        <v>2623</v>
      </c>
      <c r="V18" s="29">
        <v>2738</v>
      </c>
      <c r="W18" s="29">
        <v>2785</v>
      </c>
      <c r="X18" s="29">
        <v>2749</v>
      </c>
      <c r="Y18" s="29">
        <v>2875</v>
      </c>
      <c r="Z18" s="29">
        <v>2738</v>
      </c>
      <c r="AA18" s="29">
        <v>2529</v>
      </c>
      <c r="AB18" s="29">
        <v>2354</v>
      </c>
      <c r="AC18" s="29">
        <v>2669</v>
      </c>
      <c r="AD18" s="29">
        <v>2714</v>
      </c>
      <c r="AE18" s="29">
        <v>2895</v>
      </c>
      <c r="AF18" s="29">
        <v>2410</v>
      </c>
      <c r="AG18" s="29">
        <v>2513</v>
      </c>
      <c r="AH18" s="29">
        <v>2904</v>
      </c>
      <c r="AI18" s="29">
        <v>2548</v>
      </c>
      <c r="AJ18" s="29">
        <v>2825</v>
      </c>
      <c r="AK18" s="29">
        <v>2677</v>
      </c>
      <c r="AL18" s="29">
        <v>2482</v>
      </c>
      <c r="AM18" s="29">
        <v>2351</v>
      </c>
      <c r="AN18" s="29">
        <v>2675</v>
      </c>
      <c r="AO18" s="29">
        <v>2656</v>
      </c>
      <c r="AP18" s="29">
        <v>2502</v>
      </c>
      <c r="AQ18" s="29">
        <v>2465</v>
      </c>
      <c r="AR18" s="113">
        <f t="shared" ca="1" si="11"/>
        <v>2796</v>
      </c>
    </row>
    <row r="19" spans="1:44" x14ac:dyDescent="0.35">
      <c r="A19" t="s">
        <v>18</v>
      </c>
      <c r="B19" t="s">
        <v>46</v>
      </c>
      <c r="C19" s="36" t="str">
        <f t="shared" si="10"/>
        <v>POX20</v>
      </c>
      <c r="D19" s="35">
        <v>2787</v>
      </c>
      <c r="E19" s="29">
        <v>2893</v>
      </c>
      <c r="F19" s="29">
        <v>2904</v>
      </c>
      <c r="G19" s="29">
        <v>2401</v>
      </c>
      <c r="H19" s="29">
        <v>2753</v>
      </c>
      <c r="I19" s="29">
        <v>2817</v>
      </c>
      <c r="J19" s="29">
        <v>2354</v>
      </c>
      <c r="K19" s="29">
        <v>2640</v>
      </c>
      <c r="L19" s="29">
        <v>2648</v>
      </c>
      <c r="M19" s="29">
        <v>2701</v>
      </c>
      <c r="N19" s="29">
        <v>2759</v>
      </c>
      <c r="O19" s="29">
        <v>2406</v>
      </c>
      <c r="P19" s="29">
        <v>2908</v>
      </c>
      <c r="Q19" s="29">
        <v>2324</v>
      </c>
      <c r="R19" s="29">
        <v>2864</v>
      </c>
      <c r="S19" s="29">
        <v>3000</v>
      </c>
      <c r="T19" s="29">
        <v>2911</v>
      </c>
      <c r="U19" s="29">
        <v>2821</v>
      </c>
      <c r="V19" s="29">
        <v>2392</v>
      </c>
      <c r="W19" s="29">
        <v>2966</v>
      </c>
      <c r="X19" s="29">
        <v>2768</v>
      </c>
      <c r="Y19" s="29">
        <v>2326</v>
      </c>
      <c r="Z19" s="29">
        <v>2695</v>
      </c>
      <c r="AA19" s="29">
        <v>2960</v>
      </c>
      <c r="AB19" s="29">
        <v>2769</v>
      </c>
      <c r="AC19" s="29">
        <v>2744</v>
      </c>
      <c r="AD19" s="29">
        <v>2681</v>
      </c>
      <c r="AE19" s="29">
        <v>2750</v>
      </c>
      <c r="AF19" s="29">
        <v>2400</v>
      </c>
      <c r="AG19" s="29">
        <v>2865</v>
      </c>
      <c r="AH19" s="29">
        <v>2651</v>
      </c>
      <c r="AI19" s="29">
        <v>2844</v>
      </c>
      <c r="AJ19" s="29">
        <v>2670</v>
      </c>
      <c r="AK19" s="29">
        <v>2462</v>
      </c>
      <c r="AL19" s="29">
        <v>2954</v>
      </c>
      <c r="AM19" s="29">
        <v>2738</v>
      </c>
      <c r="AN19" s="29">
        <v>2323</v>
      </c>
      <c r="AO19" s="29">
        <v>2485</v>
      </c>
      <c r="AP19" s="29">
        <v>2905</v>
      </c>
      <c r="AQ19" s="29">
        <v>2787</v>
      </c>
      <c r="AR19" s="113">
        <f t="shared" ca="1" si="11"/>
        <v>2686</v>
      </c>
    </row>
    <row r="20" spans="1:44" x14ac:dyDescent="0.35">
      <c r="A20" t="s">
        <v>30</v>
      </c>
      <c r="B20" t="s">
        <v>51</v>
      </c>
      <c r="C20" s="36" t="str">
        <f t="shared" si="10"/>
        <v>SBF21</v>
      </c>
      <c r="D20" s="35">
        <v>948</v>
      </c>
      <c r="E20" s="30">
        <v>908</v>
      </c>
      <c r="F20" s="30">
        <v>927</v>
      </c>
      <c r="G20" s="30">
        <v>904</v>
      </c>
      <c r="H20" s="30">
        <v>902</v>
      </c>
      <c r="I20" s="30">
        <v>906</v>
      </c>
      <c r="J20" s="30">
        <v>897</v>
      </c>
      <c r="K20" s="30">
        <v>893</v>
      </c>
      <c r="L20" s="30">
        <v>926</v>
      </c>
      <c r="M20" s="30">
        <v>948</v>
      </c>
      <c r="N20" s="30">
        <v>933</v>
      </c>
      <c r="O20" s="30">
        <v>905</v>
      </c>
      <c r="P20" s="30">
        <v>946</v>
      </c>
      <c r="Q20" s="30">
        <v>925</v>
      </c>
      <c r="R20" s="30">
        <v>935</v>
      </c>
      <c r="S20" s="30">
        <v>908</v>
      </c>
      <c r="T20" s="30">
        <v>940</v>
      </c>
      <c r="U20" s="30">
        <v>933</v>
      </c>
      <c r="V20" s="30">
        <v>924</v>
      </c>
      <c r="W20" s="30">
        <v>945</v>
      </c>
      <c r="X20" s="30">
        <v>929</v>
      </c>
      <c r="Y20" s="30">
        <v>900</v>
      </c>
      <c r="Z20" s="30">
        <v>915</v>
      </c>
      <c r="AA20" s="30">
        <v>920</v>
      </c>
      <c r="AB20" s="30">
        <v>942</v>
      </c>
      <c r="AC20" s="30">
        <v>898</v>
      </c>
      <c r="AD20" s="30">
        <v>906</v>
      </c>
      <c r="AE20" s="30">
        <v>941</v>
      </c>
      <c r="AF20" s="30">
        <v>933</v>
      </c>
      <c r="AG20" s="30">
        <v>906</v>
      </c>
      <c r="AH20" s="30">
        <v>940</v>
      </c>
      <c r="AI20" s="30">
        <v>894</v>
      </c>
      <c r="AJ20" s="30">
        <v>911</v>
      </c>
      <c r="AK20" s="30">
        <v>899</v>
      </c>
      <c r="AL20" s="30">
        <v>926</v>
      </c>
      <c r="AM20" s="30">
        <v>911</v>
      </c>
      <c r="AN20" s="30">
        <v>923</v>
      </c>
      <c r="AO20" s="30">
        <v>933</v>
      </c>
      <c r="AP20" s="30">
        <v>921</v>
      </c>
      <c r="AQ20" s="30">
        <v>948</v>
      </c>
      <c r="AR20" s="114">
        <f t="shared" ref="AQ20:AR25" ca="1" si="12">RANDBETWEEN(890,950)</f>
        <v>934</v>
      </c>
    </row>
    <row r="21" spans="1:44" x14ac:dyDescent="0.35">
      <c r="A21" t="s">
        <v>30</v>
      </c>
      <c r="B21" t="s">
        <v>21</v>
      </c>
      <c r="C21" s="36" t="str">
        <f t="shared" si="10"/>
        <v>SBH20</v>
      </c>
      <c r="D21" s="35">
        <v>893</v>
      </c>
      <c r="E21" s="30">
        <v>901</v>
      </c>
      <c r="F21" s="30">
        <v>906</v>
      </c>
      <c r="G21" s="30">
        <v>922</v>
      </c>
      <c r="H21" s="30">
        <v>941</v>
      </c>
      <c r="I21" s="30">
        <v>896</v>
      </c>
      <c r="J21" s="30">
        <v>940</v>
      </c>
      <c r="K21" s="30">
        <v>946</v>
      </c>
      <c r="L21" s="30">
        <v>917</v>
      </c>
      <c r="M21" s="30">
        <v>919</v>
      </c>
      <c r="N21" s="30">
        <v>936</v>
      </c>
      <c r="O21" s="30">
        <v>932</v>
      </c>
      <c r="P21" s="30">
        <v>943</v>
      </c>
      <c r="Q21" s="30">
        <v>944</v>
      </c>
      <c r="R21" s="30">
        <v>916</v>
      </c>
      <c r="S21" s="30">
        <v>947</v>
      </c>
      <c r="T21" s="30">
        <v>931</v>
      </c>
      <c r="U21" s="30">
        <v>932</v>
      </c>
      <c r="V21" s="30">
        <v>920</v>
      </c>
      <c r="W21" s="30">
        <v>913</v>
      </c>
      <c r="X21" s="30">
        <v>911</v>
      </c>
      <c r="Y21" s="30">
        <v>903</v>
      </c>
      <c r="Z21" s="30">
        <v>944</v>
      </c>
      <c r="AA21" s="30">
        <v>943</v>
      </c>
      <c r="AB21" s="30">
        <v>934</v>
      </c>
      <c r="AC21" s="30">
        <v>927</v>
      </c>
      <c r="AD21" s="30">
        <v>938</v>
      </c>
      <c r="AE21" s="30">
        <v>938</v>
      </c>
      <c r="AF21" s="30">
        <v>894</v>
      </c>
      <c r="AG21" s="30">
        <v>912</v>
      </c>
      <c r="AH21" s="30">
        <v>893</v>
      </c>
      <c r="AI21" s="30">
        <v>949</v>
      </c>
      <c r="AJ21" s="30">
        <v>923</v>
      </c>
      <c r="AK21" s="30">
        <v>928</v>
      </c>
      <c r="AL21" s="30">
        <v>940</v>
      </c>
      <c r="AM21" s="30">
        <v>947</v>
      </c>
      <c r="AN21" s="30">
        <v>897</v>
      </c>
      <c r="AO21" s="30">
        <v>903</v>
      </c>
      <c r="AP21" s="30">
        <v>927</v>
      </c>
      <c r="AQ21" s="30">
        <v>893</v>
      </c>
      <c r="AR21" s="114">
        <f t="shared" ca="1" si="12"/>
        <v>928</v>
      </c>
    </row>
    <row r="22" spans="1:44" x14ac:dyDescent="0.35">
      <c r="A22" t="s">
        <v>30</v>
      </c>
      <c r="B22" t="s">
        <v>26</v>
      </c>
      <c r="C22" s="36" t="str">
        <f t="shared" si="10"/>
        <v>SBK20</v>
      </c>
      <c r="D22" s="35">
        <v>943</v>
      </c>
      <c r="E22" s="30">
        <v>942</v>
      </c>
      <c r="F22" s="30">
        <v>890</v>
      </c>
      <c r="G22" s="30">
        <v>949</v>
      </c>
      <c r="H22" s="30">
        <v>903</v>
      </c>
      <c r="I22" s="30">
        <v>912</v>
      </c>
      <c r="J22" s="30">
        <v>943</v>
      </c>
      <c r="K22" s="30">
        <v>941</v>
      </c>
      <c r="L22" s="30">
        <v>920</v>
      </c>
      <c r="M22" s="30">
        <v>898</v>
      </c>
      <c r="N22" s="30">
        <v>905</v>
      </c>
      <c r="O22" s="30">
        <v>949</v>
      </c>
      <c r="P22" s="30">
        <v>894</v>
      </c>
      <c r="Q22" s="30">
        <v>939</v>
      </c>
      <c r="R22" s="30">
        <v>939</v>
      </c>
      <c r="S22" s="30">
        <v>947</v>
      </c>
      <c r="T22" s="30">
        <v>915</v>
      </c>
      <c r="U22" s="30">
        <v>895</v>
      </c>
      <c r="V22" s="30">
        <v>932</v>
      </c>
      <c r="W22" s="30">
        <v>935</v>
      </c>
      <c r="X22" s="30">
        <v>949</v>
      </c>
      <c r="Y22" s="30">
        <v>935</v>
      </c>
      <c r="Z22" s="30">
        <v>950</v>
      </c>
      <c r="AA22" s="30">
        <v>913</v>
      </c>
      <c r="AB22" s="30">
        <v>950</v>
      </c>
      <c r="AC22" s="30">
        <v>937</v>
      </c>
      <c r="AD22" s="30">
        <v>920</v>
      </c>
      <c r="AE22" s="30">
        <v>923</v>
      </c>
      <c r="AF22" s="30">
        <v>904</v>
      </c>
      <c r="AG22" s="30">
        <v>926</v>
      </c>
      <c r="AH22" s="30">
        <v>904</v>
      </c>
      <c r="AI22" s="30">
        <v>926</v>
      </c>
      <c r="AJ22" s="30">
        <v>902</v>
      </c>
      <c r="AK22" s="30">
        <v>913</v>
      </c>
      <c r="AL22" s="30">
        <v>904</v>
      </c>
      <c r="AM22" s="30">
        <v>918</v>
      </c>
      <c r="AN22" s="30">
        <v>898</v>
      </c>
      <c r="AO22" s="30">
        <v>893</v>
      </c>
      <c r="AP22" s="30">
        <v>932</v>
      </c>
      <c r="AQ22" s="30">
        <v>943</v>
      </c>
      <c r="AR22" s="114">
        <f t="shared" ca="1" si="12"/>
        <v>933</v>
      </c>
    </row>
    <row r="23" spans="1:44" x14ac:dyDescent="0.35">
      <c r="A23" t="s">
        <v>30</v>
      </c>
      <c r="B23" t="s">
        <v>4</v>
      </c>
      <c r="C23" s="36" t="str">
        <f t="shared" si="10"/>
        <v>SBN20</v>
      </c>
      <c r="D23" s="35">
        <v>942</v>
      </c>
      <c r="E23" s="30">
        <v>898</v>
      </c>
      <c r="F23" s="30">
        <v>921</v>
      </c>
      <c r="G23" s="30">
        <v>940</v>
      </c>
      <c r="H23" s="30">
        <v>949</v>
      </c>
      <c r="I23" s="30">
        <v>923</v>
      </c>
      <c r="J23" s="30">
        <v>920</v>
      </c>
      <c r="K23" s="30">
        <v>918</v>
      </c>
      <c r="L23" s="30">
        <v>940</v>
      </c>
      <c r="M23" s="30">
        <v>942</v>
      </c>
      <c r="N23" s="30">
        <v>909</v>
      </c>
      <c r="O23" s="30">
        <v>903</v>
      </c>
      <c r="P23" s="30">
        <v>948</v>
      </c>
      <c r="Q23" s="30">
        <v>917</v>
      </c>
      <c r="R23" s="30">
        <v>934</v>
      </c>
      <c r="S23" s="30">
        <v>909</v>
      </c>
      <c r="T23" s="30">
        <v>905</v>
      </c>
      <c r="U23" s="30">
        <v>922</v>
      </c>
      <c r="V23" s="30">
        <v>925</v>
      </c>
      <c r="W23" s="30">
        <v>935</v>
      </c>
      <c r="X23" s="30">
        <v>903</v>
      </c>
      <c r="Y23" s="30">
        <v>926</v>
      </c>
      <c r="Z23" s="30">
        <v>915</v>
      </c>
      <c r="AA23" s="30">
        <v>940</v>
      </c>
      <c r="AB23" s="30">
        <v>934</v>
      </c>
      <c r="AC23" s="30">
        <v>922</v>
      </c>
      <c r="AD23" s="30">
        <v>948</v>
      </c>
      <c r="AE23" s="30">
        <v>916</v>
      </c>
      <c r="AF23" s="30">
        <v>933</v>
      </c>
      <c r="AG23" s="30">
        <v>906</v>
      </c>
      <c r="AH23" s="30">
        <v>936</v>
      </c>
      <c r="AI23" s="30">
        <v>899</v>
      </c>
      <c r="AJ23" s="30">
        <v>938</v>
      </c>
      <c r="AK23" s="30">
        <v>911</v>
      </c>
      <c r="AL23" s="30">
        <v>948</v>
      </c>
      <c r="AM23" s="30">
        <v>924</v>
      </c>
      <c r="AN23" s="30">
        <v>920</v>
      </c>
      <c r="AO23" s="30">
        <v>900</v>
      </c>
      <c r="AP23" s="30">
        <v>916</v>
      </c>
      <c r="AQ23" s="30">
        <v>942</v>
      </c>
      <c r="AR23" s="114">
        <f t="shared" ca="1" si="12"/>
        <v>942</v>
      </c>
    </row>
    <row r="24" spans="1:44" x14ac:dyDescent="0.35">
      <c r="A24" t="s">
        <v>30</v>
      </c>
      <c r="B24" t="s">
        <v>38</v>
      </c>
      <c r="C24" s="36" t="str">
        <f t="shared" si="10"/>
        <v>SBU20</v>
      </c>
      <c r="D24" s="35">
        <v>898</v>
      </c>
      <c r="E24" s="30">
        <v>902</v>
      </c>
      <c r="F24" s="30">
        <v>946</v>
      </c>
      <c r="G24" s="30">
        <v>944</v>
      </c>
      <c r="H24" s="30">
        <v>941</v>
      </c>
      <c r="I24" s="30">
        <v>929</v>
      </c>
      <c r="J24" s="30">
        <v>943</v>
      </c>
      <c r="K24" s="30">
        <v>919</v>
      </c>
      <c r="L24" s="30">
        <v>944</v>
      </c>
      <c r="M24" s="30">
        <v>939</v>
      </c>
      <c r="N24" s="30">
        <v>903</v>
      </c>
      <c r="O24" s="30">
        <v>897</v>
      </c>
      <c r="P24" s="30">
        <v>917</v>
      </c>
      <c r="Q24" s="30">
        <v>902</v>
      </c>
      <c r="R24" s="30">
        <v>905</v>
      </c>
      <c r="S24" s="30">
        <v>913</v>
      </c>
      <c r="T24" s="30">
        <v>908</v>
      </c>
      <c r="U24" s="30">
        <v>933</v>
      </c>
      <c r="V24" s="30">
        <v>932</v>
      </c>
      <c r="W24" s="30">
        <v>941</v>
      </c>
      <c r="X24" s="30">
        <v>924</v>
      </c>
      <c r="Y24" s="30">
        <v>914</v>
      </c>
      <c r="Z24" s="30">
        <v>928</v>
      </c>
      <c r="AA24" s="30">
        <v>927</v>
      </c>
      <c r="AB24" s="30">
        <v>942</v>
      </c>
      <c r="AC24" s="30">
        <v>904</v>
      </c>
      <c r="AD24" s="30">
        <v>899</v>
      </c>
      <c r="AE24" s="30">
        <v>905</v>
      </c>
      <c r="AF24" s="30">
        <v>919</v>
      </c>
      <c r="AG24" s="30">
        <v>933</v>
      </c>
      <c r="AH24" s="30">
        <v>936</v>
      </c>
      <c r="AI24" s="30">
        <v>895</v>
      </c>
      <c r="AJ24" s="30">
        <v>917</v>
      </c>
      <c r="AK24" s="30">
        <v>895</v>
      </c>
      <c r="AL24" s="30">
        <v>903</v>
      </c>
      <c r="AM24" s="30">
        <v>919</v>
      </c>
      <c r="AN24" s="30">
        <v>906</v>
      </c>
      <c r="AO24" s="30">
        <v>894</v>
      </c>
      <c r="AP24" s="30">
        <v>935</v>
      </c>
      <c r="AQ24" s="30">
        <v>898</v>
      </c>
      <c r="AR24" s="114">
        <f t="shared" ca="1" si="12"/>
        <v>907</v>
      </c>
    </row>
    <row r="25" spans="1:44" x14ac:dyDescent="0.35">
      <c r="A25" t="s">
        <v>30</v>
      </c>
      <c r="B25" t="s">
        <v>46</v>
      </c>
      <c r="C25" s="36" t="str">
        <f t="shared" si="10"/>
        <v>SBX20</v>
      </c>
      <c r="D25" s="35">
        <v>940</v>
      </c>
      <c r="E25" s="30">
        <v>908</v>
      </c>
      <c r="F25" s="30">
        <v>918</v>
      </c>
      <c r="G25" s="30">
        <v>927</v>
      </c>
      <c r="H25" s="30">
        <v>915</v>
      </c>
      <c r="I25" s="30">
        <v>914</v>
      </c>
      <c r="J25" s="30">
        <v>941</v>
      </c>
      <c r="K25" s="30">
        <v>950</v>
      </c>
      <c r="L25" s="30">
        <v>930</v>
      </c>
      <c r="M25" s="30">
        <v>933</v>
      </c>
      <c r="N25" s="30">
        <v>929</v>
      </c>
      <c r="O25" s="30">
        <v>937</v>
      </c>
      <c r="P25" s="30">
        <v>919</v>
      </c>
      <c r="Q25" s="30">
        <v>902</v>
      </c>
      <c r="R25" s="30">
        <v>921</v>
      </c>
      <c r="S25" s="30">
        <v>893</v>
      </c>
      <c r="T25" s="30">
        <v>943</v>
      </c>
      <c r="U25" s="30">
        <v>948</v>
      </c>
      <c r="V25" s="30">
        <v>931</v>
      </c>
      <c r="W25" s="30">
        <v>925</v>
      </c>
      <c r="X25" s="30">
        <v>898</v>
      </c>
      <c r="Y25" s="30">
        <v>929</v>
      </c>
      <c r="Z25" s="30">
        <v>942</v>
      </c>
      <c r="AA25" s="30">
        <v>923</v>
      </c>
      <c r="AB25" s="30">
        <v>900</v>
      </c>
      <c r="AC25" s="30">
        <v>905</v>
      </c>
      <c r="AD25" s="30">
        <v>892</v>
      </c>
      <c r="AE25" s="30">
        <v>925</v>
      </c>
      <c r="AF25" s="30">
        <v>931</v>
      </c>
      <c r="AG25" s="30">
        <v>891</v>
      </c>
      <c r="AH25" s="30">
        <v>902</v>
      </c>
      <c r="AI25" s="30">
        <v>921</v>
      </c>
      <c r="AJ25" s="30">
        <v>922</v>
      </c>
      <c r="AK25" s="30">
        <v>932</v>
      </c>
      <c r="AL25" s="30">
        <v>933</v>
      </c>
      <c r="AM25" s="30">
        <v>897</v>
      </c>
      <c r="AN25" s="30">
        <v>915</v>
      </c>
      <c r="AO25" s="30">
        <v>895</v>
      </c>
      <c r="AP25" s="30">
        <v>933</v>
      </c>
      <c r="AQ25" s="30">
        <v>940</v>
      </c>
      <c r="AR25" s="114">
        <f t="shared" ca="1" si="12"/>
        <v>946</v>
      </c>
    </row>
    <row r="26" spans="1:44" x14ac:dyDescent="0.35">
      <c r="A26" t="s">
        <v>25</v>
      </c>
      <c r="B26" t="s">
        <v>51</v>
      </c>
      <c r="C26" s="36" t="str">
        <f t="shared" si="10"/>
        <v>SMF21</v>
      </c>
      <c r="D26" s="35">
        <v>303</v>
      </c>
      <c r="E26" s="31">
        <v>307</v>
      </c>
      <c r="F26" s="31">
        <v>316</v>
      </c>
      <c r="G26" s="31">
        <v>339</v>
      </c>
      <c r="H26" s="31">
        <v>311</v>
      </c>
      <c r="I26" s="31">
        <v>329</v>
      </c>
      <c r="J26" s="31">
        <v>333</v>
      </c>
      <c r="K26" s="31">
        <v>350</v>
      </c>
      <c r="L26" s="31">
        <v>311</v>
      </c>
      <c r="M26" s="31">
        <v>334</v>
      </c>
      <c r="N26" s="31">
        <v>303</v>
      </c>
      <c r="O26" s="31">
        <v>303</v>
      </c>
      <c r="P26" s="31">
        <v>342</v>
      </c>
      <c r="Q26" s="31">
        <v>327</v>
      </c>
      <c r="R26" s="31">
        <v>344</v>
      </c>
      <c r="S26" s="31">
        <v>348</v>
      </c>
      <c r="T26" s="31">
        <v>326</v>
      </c>
      <c r="U26" s="31">
        <v>332</v>
      </c>
      <c r="V26" s="31">
        <v>321</v>
      </c>
      <c r="W26" s="31">
        <v>319</v>
      </c>
      <c r="X26" s="31">
        <v>340</v>
      </c>
      <c r="Y26" s="31">
        <v>334</v>
      </c>
      <c r="Z26" s="31">
        <v>337</v>
      </c>
      <c r="AA26" s="31">
        <v>302</v>
      </c>
      <c r="AB26" s="31">
        <v>337</v>
      </c>
      <c r="AC26" s="31">
        <v>341</v>
      </c>
      <c r="AD26" s="31">
        <v>305</v>
      </c>
      <c r="AE26" s="31">
        <v>301</v>
      </c>
      <c r="AF26" s="31">
        <v>318</v>
      </c>
      <c r="AG26" s="31">
        <v>327</v>
      </c>
      <c r="AH26" s="31">
        <v>328</v>
      </c>
      <c r="AI26" s="31">
        <v>302</v>
      </c>
      <c r="AJ26" s="31">
        <v>302</v>
      </c>
      <c r="AK26" s="31">
        <v>349</v>
      </c>
      <c r="AL26" s="31">
        <v>308</v>
      </c>
      <c r="AM26" s="31">
        <v>307</v>
      </c>
      <c r="AN26" s="31">
        <v>338</v>
      </c>
      <c r="AO26" s="31">
        <v>334</v>
      </c>
      <c r="AP26" s="31">
        <v>324</v>
      </c>
      <c r="AQ26" s="31">
        <v>303</v>
      </c>
      <c r="AR26" s="115">
        <f t="shared" ref="AQ26:AR31" ca="1" si="13">RANDBETWEEN(300,350)</f>
        <v>333</v>
      </c>
    </row>
    <row r="27" spans="1:44" x14ac:dyDescent="0.35">
      <c r="A27" t="s">
        <v>25</v>
      </c>
      <c r="B27" t="s">
        <v>21</v>
      </c>
      <c r="C27" s="36" t="str">
        <f t="shared" si="10"/>
        <v>SMH20</v>
      </c>
      <c r="D27" s="35">
        <v>300</v>
      </c>
      <c r="E27" s="31">
        <v>348</v>
      </c>
      <c r="F27" s="31">
        <v>324</v>
      </c>
      <c r="G27" s="31">
        <v>308</v>
      </c>
      <c r="H27" s="31">
        <v>339</v>
      </c>
      <c r="I27" s="31">
        <v>339</v>
      </c>
      <c r="J27" s="31">
        <v>331</v>
      </c>
      <c r="K27" s="31">
        <v>337</v>
      </c>
      <c r="L27" s="31">
        <v>342</v>
      </c>
      <c r="M27" s="31">
        <v>328</v>
      </c>
      <c r="N27" s="31">
        <v>344</v>
      </c>
      <c r="O27" s="31">
        <v>315</v>
      </c>
      <c r="P27" s="31">
        <v>322</v>
      </c>
      <c r="Q27" s="31">
        <v>318</v>
      </c>
      <c r="R27" s="31">
        <v>349</v>
      </c>
      <c r="S27" s="31">
        <v>323</v>
      </c>
      <c r="T27" s="31">
        <v>344</v>
      </c>
      <c r="U27" s="31">
        <v>350</v>
      </c>
      <c r="V27" s="31">
        <v>300</v>
      </c>
      <c r="W27" s="31">
        <v>337</v>
      </c>
      <c r="X27" s="31">
        <v>301</v>
      </c>
      <c r="Y27" s="31">
        <v>337</v>
      </c>
      <c r="Z27" s="31">
        <v>322</v>
      </c>
      <c r="AA27" s="31">
        <v>345</v>
      </c>
      <c r="AB27" s="31">
        <v>344</v>
      </c>
      <c r="AC27" s="31">
        <v>329</v>
      </c>
      <c r="AD27" s="31">
        <v>343</v>
      </c>
      <c r="AE27" s="31">
        <v>327</v>
      </c>
      <c r="AF27" s="31">
        <v>328</v>
      </c>
      <c r="AG27" s="31">
        <v>310</v>
      </c>
      <c r="AH27" s="31">
        <v>328</v>
      </c>
      <c r="AI27" s="31">
        <v>349</v>
      </c>
      <c r="AJ27" s="31">
        <v>322</v>
      </c>
      <c r="AK27" s="31">
        <v>347</v>
      </c>
      <c r="AL27" s="31">
        <v>347</v>
      </c>
      <c r="AM27" s="31">
        <v>330</v>
      </c>
      <c r="AN27" s="31">
        <v>347</v>
      </c>
      <c r="AO27" s="31">
        <v>300</v>
      </c>
      <c r="AP27" s="31">
        <v>303</v>
      </c>
      <c r="AQ27" s="31">
        <v>300</v>
      </c>
      <c r="AR27" s="115">
        <f t="shared" ca="1" si="13"/>
        <v>348</v>
      </c>
    </row>
    <row r="28" spans="1:44" x14ac:dyDescent="0.35">
      <c r="A28" t="s">
        <v>25</v>
      </c>
      <c r="B28" t="s">
        <v>26</v>
      </c>
      <c r="C28" s="36" t="str">
        <f t="shared" si="10"/>
        <v>SMK20</v>
      </c>
      <c r="D28" s="35">
        <v>309</v>
      </c>
      <c r="E28" s="31">
        <v>344</v>
      </c>
      <c r="F28" s="31">
        <v>348</v>
      </c>
      <c r="G28" s="31">
        <v>318</v>
      </c>
      <c r="H28" s="31">
        <v>318</v>
      </c>
      <c r="I28" s="31">
        <v>337</v>
      </c>
      <c r="J28" s="31">
        <v>346</v>
      </c>
      <c r="K28" s="31">
        <v>337</v>
      </c>
      <c r="L28" s="31">
        <v>305</v>
      </c>
      <c r="M28" s="31">
        <v>344</v>
      </c>
      <c r="N28" s="31">
        <v>326</v>
      </c>
      <c r="O28" s="31">
        <v>341</v>
      </c>
      <c r="P28" s="31">
        <v>318</v>
      </c>
      <c r="Q28" s="31">
        <v>327</v>
      </c>
      <c r="R28" s="31">
        <v>314</v>
      </c>
      <c r="S28" s="31">
        <v>323</v>
      </c>
      <c r="T28" s="31">
        <v>337</v>
      </c>
      <c r="U28" s="31">
        <v>307</v>
      </c>
      <c r="V28" s="31">
        <v>327</v>
      </c>
      <c r="W28" s="31">
        <v>309</v>
      </c>
      <c r="X28" s="31">
        <v>307</v>
      </c>
      <c r="Y28" s="31">
        <v>315</v>
      </c>
      <c r="Z28" s="31">
        <v>348</v>
      </c>
      <c r="AA28" s="31">
        <v>339</v>
      </c>
      <c r="AB28" s="31">
        <v>308</v>
      </c>
      <c r="AC28" s="31">
        <v>333</v>
      </c>
      <c r="AD28" s="31">
        <v>330</v>
      </c>
      <c r="AE28" s="31">
        <v>322</v>
      </c>
      <c r="AF28" s="31">
        <v>311</v>
      </c>
      <c r="AG28" s="31">
        <v>312</v>
      </c>
      <c r="AH28" s="31">
        <v>328</v>
      </c>
      <c r="AI28" s="31">
        <v>335</v>
      </c>
      <c r="AJ28" s="31">
        <v>331</v>
      </c>
      <c r="AK28" s="31">
        <v>303</v>
      </c>
      <c r="AL28" s="31">
        <v>335</v>
      </c>
      <c r="AM28" s="31">
        <v>311</v>
      </c>
      <c r="AN28" s="31">
        <v>349</v>
      </c>
      <c r="AO28" s="31">
        <v>344</v>
      </c>
      <c r="AP28" s="31">
        <v>341</v>
      </c>
      <c r="AQ28" s="31">
        <v>309</v>
      </c>
      <c r="AR28" s="115">
        <f t="shared" ca="1" si="13"/>
        <v>318</v>
      </c>
    </row>
    <row r="29" spans="1:44" x14ac:dyDescent="0.35">
      <c r="A29" t="s">
        <v>25</v>
      </c>
      <c r="B29" t="s">
        <v>4</v>
      </c>
      <c r="C29" s="36" t="str">
        <f t="shared" si="10"/>
        <v>SMN20</v>
      </c>
      <c r="D29" s="35">
        <v>335</v>
      </c>
      <c r="E29" s="31">
        <v>306</v>
      </c>
      <c r="F29" s="31">
        <v>303</v>
      </c>
      <c r="G29" s="31">
        <v>321</v>
      </c>
      <c r="H29" s="31">
        <v>315</v>
      </c>
      <c r="I29" s="31">
        <v>312</v>
      </c>
      <c r="J29" s="31">
        <v>311</v>
      </c>
      <c r="K29" s="31">
        <v>339</v>
      </c>
      <c r="L29" s="31">
        <v>318</v>
      </c>
      <c r="M29" s="31">
        <v>313</v>
      </c>
      <c r="N29" s="31">
        <v>318</v>
      </c>
      <c r="O29" s="31">
        <v>337</v>
      </c>
      <c r="P29" s="31">
        <v>344</v>
      </c>
      <c r="Q29" s="31">
        <v>306</v>
      </c>
      <c r="R29" s="31">
        <v>335</v>
      </c>
      <c r="S29" s="31">
        <v>318</v>
      </c>
      <c r="T29" s="31">
        <v>312</v>
      </c>
      <c r="U29" s="31">
        <v>336</v>
      </c>
      <c r="V29" s="31">
        <v>310</v>
      </c>
      <c r="W29" s="31">
        <v>309</v>
      </c>
      <c r="X29" s="31">
        <v>326</v>
      </c>
      <c r="Y29" s="31">
        <v>347</v>
      </c>
      <c r="Z29" s="31">
        <v>324</v>
      </c>
      <c r="AA29" s="31">
        <v>330</v>
      </c>
      <c r="AB29" s="31">
        <v>305</v>
      </c>
      <c r="AC29" s="31">
        <v>309</v>
      </c>
      <c r="AD29" s="31">
        <v>339</v>
      </c>
      <c r="AE29" s="31">
        <v>344</v>
      </c>
      <c r="AF29" s="31">
        <v>309</v>
      </c>
      <c r="AG29" s="31">
        <v>350</v>
      </c>
      <c r="AH29" s="31">
        <v>306</v>
      </c>
      <c r="AI29" s="31">
        <v>302</v>
      </c>
      <c r="AJ29" s="31">
        <v>317</v>
      </c>
      <c r="AK29" s="31">
        <v>313</v>
      </c>
      <c r="AL29" s="31">
        <v>308</v>
      </c>
      <c r="AM29" s="31">
        <v>306</v>
      </c>
      <c r="AN29" s="31">
        <v>311</v>
      </c>
      <c r="AO29" s="31">
        <v>320</v>
      </c>
      <c r="AP29" s="31">
        <v>349</v>
      </c>
      <c r="AQ29" s="31">
        <v>335</v>
      </c>
      <c r="AR29" s="115">
        <f t="shared" ca="1" si="13"/>
        <v>345</v>
      </c>
    </row>
    <row r="30" spans="1:44" x14ac:dyDescent="0.35">
      <c r="A30" t="s">
        <v>25</v>
      </c>
      <c r="B30" t="s">
        <v>38</v>
      </c>
      <c r="C30" s="36" t="str">
        <f t="shared" si="10"/>
        <v>SMU20</v>
      </c>
      <c r="D30" s="35">
        <v>338</v>
      </c>
      <c r="E30" s="31">
        <v>314</v>
      </c>
      <c r="F30" s="31">
        <v>339</v>
      </c>
      <c r="G30" s="31">
        <v>339</v>
      </c>
      <c r="H30" s="31">
        <v>336</v>
      </c>
      <c r="I30" s="31">
        <v>336</v>
      </c>
      <c r="J30" s="31">
        <v>325</v>
      </c>
      <c r="K30" s="31">
        <v>339</v>
      </c>
      <c r="L30" s="31">
        <v>312</v>
      </c>
      <c r="M30" s="31">
        <v>319</v>
      </c>
      <c r="N30" s="31">
        <v>325</v>
      </c>
      <c r="O30" s="31">
        <v>333</v>
      </c>
      <c r="P30" s="31">
        <v>323</v>
      </c>
      <c r="Q30" s="31">
        <v>318</v>
      </c>
      <c r="R30" s="31">
        <v>342</v>
      </c>
      <c r="S30" s="31">
        <v>331</v>
      </c>
      <c r="T30" s="31">
        <v>329</v>
      </c>
      <c r="U30" s="31">
        <v>343</v>
      </c>
      <c r="V30" s="31">
        <v>326</v>
      </c>
      <c r="W30" s="31">
        <v>343</v>
      </c>
      <c r="X30" s="31">
        <v>311</v>
      </c>
      <c r="Y30" s="31">
        <v>311</v>
      </c>
      <c r="Z30" s="31">
        <v>334</v>
      </c>
      <c r="AA30" s="31">
        <v>324</v>
      </c>
      <c r="AB30" s="31">
        <v>311</v>
      </c>
      <c r="AC30" s="31">
        <v>338</v>
      </c>
      <c r="AD30" s="31">
        <v>325</v>
      </c>
      <c r="AE30" s="31">
        <v>337</v>
      </c>
      <c r="AF30" s="31">
        <v>325</v>
      </c>
      <c r="AG30" s="31">
        <v>319</v>
      </c>
      <c r="AH30" s="31">
        <v>333</v>
      </c>
      <c r="AI30" s="31">
        <v>323</v>
      </c>
      <c r="AJ30" s="31">
        <v>325</v>
      </c>
      <c r="AK30" s="31">
        <v>335</v>
      </c>
      <c r="AL30" s="31">
        <v>332</v>
      </c>
      <c r="AM30" s="31">
        <v>350</v>
      </c>
      <c r="AN30" s="31">
        <v>333</v>
      </c>
      <c r="AO30" s="31">
        <v>324</v>
      </c>
      <c r="AP30" s="31">
        <v>347</v>
      </c>
      <c r="AQ30" s="31">
        <v>338</v>
      </c>
      <c r="AR30" s="115">
        <f t="shared" ca="1" si="13"/>
        <v>328</v>
      </c>
    </row>
    <row r="31" spans="1:44" x14ac:dyDescent="0.35">
      <c r="A31" t="s">
        <v>25</v>
      </c>
      <c r="B31" t="s">
        <v>6</v>
      </c>
      <c r="C31" s="36" t="str">
        <f t="shared" si="10"/>
        <v>SMZ20</v>
      </c>
      <c r="D31" s="35">
        <v>313</v>
      </c>
      <c r="E31" s="31">
        <v>316</v>
      </c>
      <c r="F31" s="31">
        <v>333</v>
      </c>
      <c r="G31" s="31">
        <v>327</v>
      </c>
      <c r="H31" s="31">
        <v>310</v>
      </c>
      <c r="I31" s="31">
        <v>308</v>
      </c>
      <c r="J31" s="31">
        <v>316</v>
      </c>
      <c r="K31" s="31">
        <v>319</v>
      </c>
      <c r="L31" s="31">
        <v>343</v>
      </c>
      <c r="M31" s="31">
        <v>306</v>
      </c>
      <c r="N31" s="31">
        <v>319</v>
      </c>
      <c r="O31" s="31">
        <v>336</v>
      </c>
      <c r="P31" s="31">
        <v>345</v>
      </c>
      <c r="Q31" s="31">
        <v>340</v>
      </c>
      <c r="R31" s="31">
        <v>324</v>
      </c>
      <c r="S31" s="31">
        <v>317</v>
      </c>
      <c r="T31" s="31">
        <v>315</v>
      </c>
      <c r="U31" s="31">
        <v>308</v>
      </c>
      <c r="V31" s="31">
        <v>309</v>
      </c>
      <c r="W31" s="31">
        <v>348</v>
      </c>
      <c r="X31" s="31">
        <v>349</v>
      </c>
      <c r="Y31" s="31">
        <v>349</v>
      </c>
      <c r="Z31" s="31">
        <v>301</v>
      </c>
      <c r="AA31" s="31">
        <v>345</v>
      </c>
      <c r="AB31" s="31">
        <v>327</v>
      </c>
      <c r="AC31" s="31">
        <v>337</v>
      </c>
      <c r="AD31" s="31">
        <v>333</v>
      </c>
      <c r="AE31" s="31">
        <v>311</v>
      </c>
      <c r="AF31" s="31">
        <v>316</v>
      </c>
      <c r="AG31" s="31">
        <v>324</v>
      </c>
      <c r="AH31" s="31">
        <v>327</v>
      </c>
      <c r="AI31" s="31">
        <v>308</v>
      </c>
      <c r="AJ31" s="31">
        <v>314</v>
      </c>
      <c r="AK31" s="31">
        <v>315</v>
      </c>
      <c r="AL31" s="31">
        <v>337</v>
      </c>
      <c r="AM31" s="31">
        <v>338</v>
      </c>
      <c r="AN31" s="31">
        <v>309</v>
      </c>
      <c r="AO31" s="31">
        <v>306</v>
      </c>
      <c r="AP31" s="31">
        <v>304</v>
      </c>
      <c r="AQ31" s="31">
        <v>313</v>
      </c>
      <c r="AR31" s="115">
        <f t="shared" ca="1" si="13"/>
        <v>305</v>
      </c>
    </row>
    <row r="32" spans="1:44" x14ac:dyDescent="0.35">
      <c r="A32" t="s">
        <v>163</v>
      </c>
      <c r="B32" t="s">
        <v>51</v>
      </c>
      <c r="C32" s="36" t="str">
        <f t="shared" si="10"/>
        <v>RSF21</v>
      </c>
      <c r="D32" s="35">
        <v>421</v>
      </c>
      <c r="E32" s="31">
        <v>408</v>
      </c>
      <c r="F32" s="31">
        <v>438</v>
      </c>
      <c r="G32" s="31">
        <v>445</v>
      </c>
      <c r="H32" s="31">
        <v>415</v>
      </c>
      <c r="I32" s="31">
        <v>422</v>
      </c>
      <c r="J32" s="31">
        <v>413</v>
      </c>
      <c r="K32" s="31">
        <v>448</v>
      </c>
      <c r="L32" s="31">
        <v>449</v>
      </c>
      <c r="M32" s="31">
        <v>429</v>
      </c>
      <c r="N32" s="31">
        <v>429</v>
      </c>
      <c r="O32" s="31">
        <v>411</v>
      </c>
      <c r="P32" s="31">
        <v>448</v>
      </c>
      <c r="Q32" s="31">
        <v>438</v>
      </c>
      <c r="R32" s="31">
        <v>428</v>
      </c>
      <c r="S32" s="31">
        <v>441</v>
      </c>
      <c r="T32" s="31">
        <v>423</v>
      </c>
      <c r="U32" s="31">
        <v>434</v>
      </c>
      <c r="V32" s="31">
        <v>426</v>
      </c>
      <c r="W32" s="31">
        <v>435</v>
      </c>
      <c r="X32" s="31">
        <v>434</v>
      </c>
      <c r="Y32" s="31">
        <v>410</v>
      </c>
      <c r="Z32" s="31">
        <v>420</v>
      </c>
      <c r="AA32" s="31">
        <v>431</v>
      </c>
      <c r="AB32" s="31">
        <v>431</v>
      </c>
      <c r="AC32" s="31">
        <v>407</v>
      </c>
      <c r="AD32" s="31">
        <v>429</v>
      </c>
      <c r="AE32" s="31">
        <v>401</v>
      </c>
      <c r="AF32" s="31">
        <v>440</v>
      </c>
      <c r="AG32" s="31">
        <v>404</v>
      </c>
      <c r="AH32" s="31">
        <v>401</v>
      </c>
      <c r="AI32" s="31">
        <v>433</v>
      </c>
      <c r="AJ32" s="31">
        <v>404</v>
      </c>
      <c r="AK32" s="31">
        <v>443</v>
      </c>
      <c r="AL32" s="31">
        <v>400</v>
      </c>
      <c r="AM32" s="31">
        <v>432</v>
      </c>
      <c r="AN32" s="31">
        <v>426</v>
      </c>
      <c r="AO32" s="31">
        <v>417</v>
      </c>
      <c r="AP32" s="31">
        <v>415</v>
      </c>
      <c r="AQ32" s="31">
        <v>421</v>
      </c>
      <c r="AR32" s="115">
        <f t="shared" ref="AQ32:AR36" ca="1" si="14">RANDBETWEEN(400,450)</f>
        <v>428</v>
      </c>
    </row>
    <row r="33" spans="1:44" x14ac:dyDescent="0.35">
      <c r="A33" t="s">
        <v>163</v>
      </c>
      <c r="B33" t="s">
        <v>21</v>
      </c>
      <c r="C33" s="36" t="str">
        <f t="shared" si="10"/>
        <v>RSH20</v>
      </c>
      <c r="D33" s="35">
        <v>446</v>
      </c>
      <c r="E33" s="31">
        <v>422</v>
      </c>
      <c r="F33" s="31">
        <v>448</v>
      </c>
      <c r="G33" s="31">
        <v>428</v>
      </c>
      <c r="H33" s="31">
        <v>418</v>
      </c>
      <c r="I33" s="31">
        <v>424</v>
      </c>
      <c r="J33" s="31">
        <v>409</v>
      </c>
      <c r="K33" s="31">
        <v>443</v>
      </c>
      <c r="L33" s="31">
        <v>450</v>
      </c>
      <c r="M33" s="31">
        <v>431</v>
      </c>
      <c r="N33" s="31">
        <v>418</v>
      </c>
      <c r="O33" s="31">
        <v>441</v>
      </c>
      <c r="P33" s="31">
        <v>400</v>
      </c>
      <c r="Q33" s="31">
        <v>440</v>
      </c>
      <c r="R33" s="31">
        <v>450</v>
      </c>
      <c r="S33" s="31">
        <v>439</v>
      </c>
      <c r="T33" s="31">
        <v>429</v>
      </c>
      <c r="U33" s="31">
        <v>437</v>
      </c>
      <c r="V33" s="31">
        <v>410</v>
      </c>
      <c r="W33" s="31">
        <v>437</v>
      </c>
      <c r="X33" s="31">
        <v>415</v>
      </c>
      <c r="Y33" s="31">
        <v>406</v>
      </c>
      <c r="Z33" s="31">
        <v>446</v>
      </c>
      <c r="AA33" s="31">
        <v>426</v>
      </c>
      <c r="AB33" s="31">
        <v>420</v>
      </c>
      <c r="AC33" s="31">
        <v>419</v>
      </c>
      <c r="AD33" s="31">
        <v>446</v>
      </c>
      <c r="AE33" s="31">
        <v>411</v>
      </c>
      <c r="AF33" s="31">
        <v>441</v>
      </c>
      <c r="AG33" s="31">
        <v>434</v>
      </c>
      <c r="AH33" s="31">
        <v>448</v>
      </c>
      <c r="AI33" s="31">
        <v>449</v>
      </c>
      <c r="AJ33" s="31">
        <v>404</v>
      </c>
      <c r="AK33" s="31">
        <v>419</v>
      </c>
      <c r="AL33" s="31">
        <v>412</v>
      </c>
      <c r="AM33" s="31">
        <v>427</v>
      </c>
      <c r="AN33" s="31">
        <v>411</v>
      </c>
      <c r="AO33" s="31">
        <v>443</v>
      </c>
      <c r="AP33" s="31">
        <v>427</v>
      </c>
      <c r="AQ33" s="31">
        <v>446</v>
      </c>
      <c r="AR33" s="115">
        <f t="shared" ca="1" si="14"/>
        <v>410</v>
      </c>
    </row>
    <row r="34" spans="1:44" x14ac:dyDescent="0.35">
      <c r="A34" t="s">
        <v>163</v>
      </c>
      <c r="B34" t="s">
        <v>26</v>
      </c>
      <c r="C34" s="36" t="str">
        <f t="shared" si="10"/>
        <v>RSK20</v>
      </c>
      <c r="D34" s="35">
        <v>420</v>
      </c>
      <c r="E34" s="31">
        <v>414</v>
      </c>
      <c r="F34" s="31">
        <v>407</v>
      </c>
      <c r="G34" s="31">
        <v>422</v>
      </c>
      <c r="H34" s="31">
        <v>426</v>
      </c>
      <c r="I34" s="31">
        <v>418</v>
      </c>
      <c r="J34" s="31">
        <v>404</v>
      </c>
      <c r="K34" s="31">
        <v>440</v>
      </c>
      <c r="L34" s="31">
        <v>450</v>
      </c>
      <c r="M34" s="31">
        <v>403</v>
      </c>
      <c r="N34" s="31">
        <v>421</v>
      </c>
      <c r="O34" s="31">
        <v>412</v>
      </c>
      <c r="P34" s="31">
        <v>437</v>
      </c>
      <c r="Q34" s="31">
        <v>449</v>
      </c>
      <c r="R34" s="31">
        <v>421</v>
      </c>
      <c r="S34" s="31">
        <v>422</v>
      </c>
      <c r="T34" s="31">
        <v>434</v>
      </c>
      <c r="U34" s="31">
        <v>438</v>
      </c>
      <c r="V34" s="31">
        <v>408</v>
      </c>
      <c r="W34" s="31">
        <v>407</v>
      </c>
      <c r="X34" s="31">
        <v>411</v>
      </c>
      <c r="Y34" s="31">
        <v>413</v>
      </c>
      <c r="Z34" s="31">
        <v>446</v>
      </c>
      <c r="AA34" s="31">
        <v>432</v>
      </c>
      <c r="AB34" s="31">
        <v>425</v>
      </c>
      <c r="AC34" s="31">
        <v>417</v>
      </c>
      <c r="AD34" s="31">
        <v>414</v>
      </c>
      <c r="AE34" s="31">
        <v>405</v>
      </c>
      <c r="AF34" s="31">
        <v>423</v>
      </c>
      <c r="AG34" s="31">
        <v>413</v>
      </c>
      <c r="AH34" s="31">
        <v>432</v>
      </c>
      <c r="AI34" s="31">
        <v>445</v>
      </c>
      <c r="AJ34" s="31">
        <v>444</v>
      </c>
      <c r="AK34" s="31">
        <v>433</v>
      </c>
      <c r="AL34" s="31">
        <v>406</v>
      </c>
      <c r="AM34" s="31">
        <v>435</v>
      </c>
      <c r="AN34" s="31">
        <v>444</v>
      </c>
      <c r="AO34" s="31">
        <v>434</v>
      </c>
      <c r="AP34" s="31">
        <v>410</v>
      </c>
      <c r="AQ34" s="31">
        <v>420</v>
      </c>
      <c r="AR34" s="115">
        <f t="shared" ca="1" si="14"/>
        <v>414</v>
      </c>
    </row>
    <row r="35" spans="1:44" x14ac:dyDescent="0.35">
      <c r="A35" t="s">
        <v>163</v>
      </c>
      <c r="B35" t="s">
        <v>4</v>
      </c>
      <c r="C35" s="36" t="str">
        <f t="shared" si="10"/>
        <v>RSN20</v>
      </c>
      <c r="D35" s="35">
        <v>403</v>
      </c>
      <c r="E35" s="31">
        <v>448</v>
      </c>
      <c r="F35" s="31">
        <v>433</v>
      </c>
      <c r="G35" s="31">
        <v>443</v>
      </c>
      <c r="H35" s="31">
        <v>448</v>
      </c>
      <c r="I35" s="31">
        <v>443</v>
      </c>
      <c r="J35" s="31">
        <v>414</v>
      </c>
      <c r="K35" s="31">
        <v>410</v>
      </c>
      <c r="L35" s="31">
        <v>422</v>
      </c>
      <c r="M35" s="31">
        <v>448</v>
      </c>
      <c r="N35" s="31">
        <v>407</v>
      </c>
      <c r="O35" s="31">
        <v>407</v>
      </c>
      <c r="P35" s="31">
        <v>438</v>
      </c>
      <c r="Q35" s="31">
        <v>446</v>
      </c>
      <c r="R35" s="31">
        <v>400</v>
      </c>
      <c r="S35" s="31">
        <v>429</v>
      </c>
      <c r="T35" s="31">
        <v>434</v>
      </c>
      <c r="U35" s="31">
        <v>426</v>
      </c>
      <c r="V35" s="31">
        <v>410</v>
      </c>
      <c r="W35" s="31">
        <v>417</v>
      </c>
      <c r="X35" s="31">
        <v>434</v>
      </c>
      <c r="Y35" s="31">
        <v>441</v>
      </c>
      <c r="Z35" s="31">
        <v>400</v>
      </c>
      <c r="AA35" s="31">
        <v>431</v>
      </c>
      <c r="AB35" s="31">
        <v>408</v>
      </c>
      <c r="AC35" s="31">
        <v>450</v>
      </c>
      <c r="AD35" s="31">
        <v>420</v>
      </c>
      <c r="AE35" s="31">
        <v>444</v>
      </c>
      <c r="AF35" s="31">
        <v>402</v>
      </c>
      <c r="AG35" s="31">
        <v>405</v>
      </c>
      <c r="AH35" s="31">
        <v>424</v>
      </c>
      <c r="AI35" s="31">
        <v>402</v>
      </c>
      <c r="AJ35" s="31">
        <v>427</v>
      </c>
      <c r="AK35" s="31">
        <v>404</v>
      </c>
      <c r="AL35" s="31">
        <v>410</v>
      </c>
      <c r="AM35" s="31">
        <v>446</v>
      </c>
      <c r="AN35" s="31">
        <v>437</v>
      </c>
      <c r="AO35" s="31">
        <v>403</v>
      </c>
      <c r="AP35" s="31">
        <v>421</v>
      </c>
      <c r="AQ35" s="31">
        <v>403</v>
      </c>
      <c r="AR35" s="115">
        <f t="shared" ca="1" si="14"/>
        <v>402</v>
      </c>
    </row>
    <row r="36" spans="1:44" x14ac:dyDescent="0.35">
      <c r="A36" t="s">
        <v>163</v>
      </c>
      <c r="B36" t="s">
        <v>46</v>
      </c>
      <c r="C36" s="36" t="str">
        <f t="shared" si="10"/>
        <v>RSX20</v>
      </c>
      <c r="D36" s="35">
        <v>413</v>
      </c>
      <c r="E36" s="31">
        <v>433</v>
      </c>
      <c r="F36" s="31">
        <v>450</v>
      </c>
      <c r="G36" s="31">
        <v>445</v>
      </c>
      <c r="H36" s="31">
        <v>411</v>
      </c>
      <c r="I36" s="31">
        <v>402</v>
      </c>
      <c r="J36" s="31">
        <v>418</v>
      </c>
      <c r="K36" s="31">
        <v>425</v>
      </c>
      <c r="L36" s="31">
        <v>405</v>
      </c>
      <c r="M36" s="31">
        <v>411</v>
      </c>
      <c r="N36" s="31">
        <v>431</v>
      </c>
      <c r="O36" s="31">
        <v>450</v>
      </c>
      <c r="P36" s="31">
        <v>430</v>
      </c>
      <c r="Q36" s="31">
        <v>444</v>
      </c>
      <c r="R36" s="31">
        <v>434</v>
      </c>
      <c r="S36" s="31">
        <v>403</v>
      </c>
      <c r="T36" s="31">
        <v>441</v>
      </c>
      <c r="U36" s="31">
        <v>427</v>
      </c>
      <c r="V36" s="31">
        <v>414</v>
      </c>
      <c r="W36" s="31">
        <v>406</v>
      </c>
      <c r="X36" s="31">
        <v>420</v>
      </c>
      <c r="Y36" s="31">
        <v>440</v>
      </c>
      <c r="Z36" s="31">
        <v>435</v>
      </c>
      <c r="AA36" s="31">
        <v>428</v>
      </c>
      <c r="AB36" s="31">
        <v>417</v>
      </c>
      <c r="AC36" s="31">
        <v>417</v>
      </c>
      <c r="AD36" s="31">
        <v>421</v>
      </c>
      <c r="AE36" s="31">
        <v>418</v>
      </c>
      <c r="AF36" s="31">
        <v>408</v>
      </c>
      <c r="AG36" s="31">
        <v>402</v>
      </c>
      <c r="AH36" s="31">
        <v>417</v>
      </c>
      <c r="AI36" s="31">
        <v>432</v>
      </c>
      <c r="AJ36" s="31">
        <v>412</v>
      </c>
      <c r="AK36" s="31">
        <v>444</v>
      </c>
      <c r="AL36" s="31">
        <v>422</v>
      </c>
      <c r="AM36" s="31">
        <v>436</v>
      </c>
      <c r="AN36" s="31">
        <v>443</v>
      </c>
      <c r="AO36" s="31">
        <v>402</v>
      </c>
      <c r="AP36" s="31">
        <v>444</v>
      </c>
      <c r="AQ36" s="31">
        <v>413</v>
      </c>
      <c r="AR36" s="115">
        <f t="shared" ca="1" si="14"/>
        <v>401</v>
      </c>
    </row>
    <row r="37" spans="1:44" x14ac:dyDescent="0.35">
      <c r="A37" t="s">
        <v>33</v>
      </c>
      <c r="B37" t="s">
        <v>51</v>
      </c>
      <c r="C37" s="36" t="str">
        <f t="shared" si="10"/>
        <v>WHF21</v>
      </c>
      <c r="D37" s="35">
        <v>965</v>
      </c>
      <c r="E37" s="31">
        <v>936</v>
      </c>
      <c r="F37" s="31">
        <v>968</v>
      </c>
      <c r="G37" s="31">
        <v>966</v>
      </c>
      <c r="H37" s="31">
        <v>991</v>
      </c>
      <c r="I37" s="31">
        <v>922</v>
      </c>
      <c r="J37" s="31">
        <v>910</v>
      </c>
      <c r="K37" s="31">
        <v>901</v>
      </c>
      <c r="L37" s="31">
        <v>907</v>
      </c>
      <c r="M37" s="31">
        <v>942</v>
      </c>
      <c r="N37" s="31">
        <v>966</v>
      </c>
      <c r="O37" s="31">
        <v>998</v>
      </c>
      <c r="P37" s="31">
        <v>936</v>
      </c>
      <c r="Q37" s="31">
        <v>962</v>
      </c>
      <c r="R37" s="31">
        <v>973</v>
      </c>
      <c r="S37" s="31">
        <v>935</v>
      </c>
      <c r="T37" s="31">
        <v>908</v>
      </c>
      <c r="U37" s="31">
        <v>974</v>
      </c>
      <c r="V37" s="31">
        <v>932</v>
      </c>
      <c r="W37" s="31">
        <v>906</v>
      </c>
      <c r="X37" s="31">
        <v>951</v>
      </c>
      <c r="Y37" s="31">
        <v>974</v>
      </c>
      <c r="Z37" s="31">
        <v>986</v>
      </c>
      <c r="AA37" s="31">
        <v>911</v>
      </c>
      <c r="AB37" s="31">
        <v>999</v>
      </c>
      <c r="AC37" s="31">
        <v>962</v>
      </c>
      <c r="AD37" s="31">
        <v>994</v>
      </c>
      <c r="AE37" s="31">
        <v>983</v>
      </c>
      <c r="AF37" s="31">
        <v>973</v>
      </c>
      <c r="AG37" s="31">
        <v>980</v>
      </c>
      <c r="AH37" s="31">
        <v>973</v>
      </c>
      <c r="AI37" s="31">
        <v>918</v>
      </c>
      <c r="AJ37" s="31">
        <v>951</v>
      </c>
      <c r="AK37" s="31">
        <v>986</v>
      </c>
      <c r="AL37" s="31">
        <v>942</v>
      </c>
      <c r="AM37" s="31">
        <v>944</v>
      </c>
      <c r="AN37" s="31">
        <v>909</v>
      </c>
      <c r="AO37" s="31">
        <v>964</v>
      </c>
      <c r="AP37" s="31">
        <v>954</v>
      </c>
      <c r="AQ37" s="31">
        <v>965</v>
      </c>
      <c r="AR37" s="115">
        <f t="shared" ref="AQ37:AR42" ca="1" si="15">RANDBETWEEN(900,1000)</f>
        <v>901</v>
      </c>
    </row>
    <row r="38" spans="1:44" x14ac:dyDescent="0.35">
      <c r="A38" t="s">
        <v>33</v>
      </c>
      <c r="B38" t="s">
        <v>21</v>
      </c>
      <c r="C38" s="36" t="str">
        <f t="shared" si="10"/>
        <v>WHH20</v>
      </c>
      <c r="D38" s="35">
        <v>947</v>
      </c>
      <c r="E38" s="31">
        <v>924</v>
      </c>
      <c r="F38" s="31">
        <v>906</v>
      </c>
      <c r="G38" s="31">
        <v>966</v>
      </c>
      <c r="H38" s="31">
        <v>954</v>
      </c>
      <c r="I38" s="31">
        <v>941</v>
      </c>
      <c r="J38" s="31">
        <v>978</v>
      </c>
      <c r="K38" s="31">
        <v>939</v>
      </c>
      <c r="L38" s="31">
        <v>932</v>
      </c>
      <c r="M38" s="31">
        <v>979</v>
      </c>
      <c r="N38" s="31">
        <v>973</v>
      </c>
      <c r="O38" s="31">
        <v>943</v>
      </c>
      <c r="P38" s="31">
        <v>931</v>
      </c>
      <c r="Q38" s="31">
        <v>905</v>
      </c>
      <c r="R38" s="31">
        <v>936</v>
      </c>
      <c r="S38" s="31">
        <v>982</v>
      </c>
      <c r="T38" s="31">
        <v>983</v>
      </c>
      <c r="U38" s="31">
        <v>960</v>
      </c>
      <c r="V38" s="31">
        <v>907</v>
      </c>
      <c r="W38" s="31">
        <v>992</v>
      </c>
      <c r="X38" s="31">
        <v>942</v>
      </c>
      <c r="Y38" s="31">
        <v>921</v>
      </c>
      <c r="Z38" s="31">
        <v>968</v>
      </c>
      <c r="AA38" s="31">
        <v>925</v>
      </c>
      <c r="AB38" s="31">
        <v>970</v>
      </c>
      <c r="AC38" s="31">
        <v>1000</v>
      </c>
      <c r="AD38" s="31">
        <v>982</v>
      </c>
      <c r="AE38" s="31">
        <v>947</v>
      </c>
      <c r="AF38" s="31">
        <v>918</v>
      </c>
      <c r="AG38" s="31">
        <v>937</v>
      </c>
      <c r="AH38" s="31">
        <v>983</v>
      </c>
      <c r="AI38" s="31">
        <v>913</v>
      </c>
      <c r="AJ38" s="31">
        <v>987</v>
      </c>
      <c r="AK38" s="31">
        <v>962</v>
      </c>
      <c r="AL38" s="31">
        <v>928</v>
      </c>
      <c r="AM38" s="31">
        <v>970</v>
      </c>
      <c r="AN38" s="31">
        <v>946</v>
      </c>
      <c r="AO38" s="31">
        <v>906</v>
      </c>
      <c r="AP38" s="31">
        <v>917</v>
      </c>
      <c r="AQ38" s="31">
        <v>947</v>
      </c>
      <c r="AR38" s="115">
        <f t="shared" ca="1" si="15"/>
        <v>985</v>
      </c>
    </row>
    <row r="39" spans="1:44" x14ac:dyDescent="0.35">
      <c r="A39" t="s">
        <v>33</v>
      </c>
      <c r="B39" t="s">
        <v>26</v>
      </c>
      <c r="C39" s="36" t="str">
        <f t="shared" si="10"/>
        <v>WHK20</v>
      </c>
      <c r="D39" s="35">
        <v>972</v>
      </c>
      <c r="E39" s="31">
        <v>996</v>
      </c>
      <c r="F39" s="31">
        <v>919</v>
      </c>
      <c r="G39" s="31">
        <v>942</v>
      </c>
      <c r="H39" s="31">
        <v>982</v>
      </c>
      <c r="I39" s="31">
        <v>949</v>
      </c>
      <c r="J39" s="31">
        <v>912</v>
      </c>
      <c r="K39" s="31">
        <v>921</v>
      </c>
      <c r="L39" s="31">
        <v>940</v>
      </c>
      <c r="M39" s="31">
        <v>928</v>
      </c>
      <c r="N39" s="31">
        <v>997</v>
      </c>
      <c r="O39" s="31">
        <v>924</v>
      </c>
      <c r="P39" s="31">
        <v>945</v>
      </c>
      <c r="Q39" s="31">
        <v>914</v>
      </c>
      <c r="R39" s="31">
        <v>906</v>
      </c>
      <c r="S39" s="31">
        <v>971</v>
      </c>
      <c r="T39" s="31">
        <v>921</v>
      </c>
      <c r="U39" s="31">
        <v>916</v>
      </c>
      <c r="V39" s="31">
        <v>929</v>
      </c>
      <c r="W39" s="31">
        <v>999</v>
      </c>
      <c r="X39" s="31">
        <v>992</v>
      </c>
      <c r="Y39" s="31">
        <v>907</v>
      </c>
      <c r="Z39" s="31">
        <v>905</v>
      </c>
      <c r="AA39" s="31">
        <v>976</v>
      </c>
      <c r="AB39" s="31">
        <v>986</v>
      </c>
      <c r="AC39" s="31">
        <v>930</v>
      </c>
      <c r="AD39" s="31">
        <v>993</v>
      </c>
      <c r="AE39" s="31">
        <v>929</v>
      </c>
      <c r="AF39" s="31">
        <v>962</v>
      </c>
      <c r="AG39" s="31">
        <v>957</v>
      </c>
      <c r="AH39" s="31">
        <v>931</v>
      </c>
      <c r="AI39" s="31">
        <v>913</v>
      </c>
      <c r="AJ39" s="31">
        <v>913</v>
      </c>
      <c r="AK39" s="31">
        <v>902</v>
      </c>
      <c r="AL39" s="31">
        <v>911</v>
      </c>
      <c r="AM39" s="31">
        <v>916</v>
      </c>
      <c r="AN39" s="31">
        <v>900</v>
      </c>
      <c r="AO39" s="31">
        <v>957</v>
      </c>
      <c r="AP39" s="31">
        <v>983</v>
      </c>
      <c r="AQ39" s="31">
        <v>972</v>
      </c>
      <c r="AR39" s="115">
        <f t="shared" ca="1" si="15"/>
        <v>933</v>
      </c>
    </row>
    <row r="40" spans="1:44" x14ac:dyDescent="0.35">
      <c r="A40" t="s">
        <v>33</v>
      </c>
      <c r="B40" t="s">
        <v>4</v>
      </c>
      <c r="C40" s="36" t="str">
        <f t="shared" si="10"/>
        <v>WHN20</v>
      </c>
      <c r="D40" s="35">
        <v>987</v>
      </c>
      <c r="E40" s="31">
        <v>992</v>
      </c>
      <c r="F40" s="31">
        <v>925</v>
      </c>
      <c r="G40" s="31">
        <v>991</v>
      </c>
      <c r="H40" s="31">
        <v>950</v>
      </c>
      <c r="I40" s="31">
        <v>962</v>
      </c>
      <c r="J40" s="31">
        <v>962</v>
      </c>
      <c r="K40" s="31">
        <v>927</v>
      </c>
      <c r="L40" s="31">
        <v>918</v>
      </c>
      <c r="M40" s="31">
        <v>920</v>
      </c>
      <c r="N40" s="31">
        <v>903</v>
      </c>
      <c r="O40" s="31">
        <v>951</v>
      </c>
      <c r="P40" s="31">
        <v>971</v>
      </c>
      <c r="Q40" s="31">
        <v>973</v>
      </c>
      <c r="R40" s="31">
        <v>928</v>
      </c>
      <c r="S40" s="31">
        <v>951</v>
      </c>
      <c r="T40" s="31">
        <v>976</v>
      </c>
      <c r="U40" s="31">
        <v>964</v>
      </c>
      <c r="V40" s="31">
        <v>959</v>
      </c>
      <c r="W40" s="31">
        <v>969</v>
      </c>
      <c r="X40" s="31">
        <v>947</v>
      </c>
      <c r="Y40" s="31">
        <v>928</v>
      </c>
      <c r="Z40" s="31">
        <v>926</v>
      </c>
      <c r="AA40" s="31">
        <v>945</v>
      </c>
      <c r="AB40" s="31">
        <v>936</v>
      </c>
      <c r="AC40" s="31">
        <v>999</v>
      </c>
      <c r="AD40" s="31">
        <v>912</v>
      </c>
      <c r="AE40" s="31">
        <v>991</v>
      </c>
      <c r="AF40" s="31">
        <v>1000</v>
      </c>
      <c r="AG40" s="31">
        <v>910</v>
      </c>
      <c r="AH40" s="31">
        <v>974</v>
      </c>
      <c r="AI40" s="31">
        <v>939</v>
      </c>
      <c r="AJ40" s="31">
        <v>935</v>
      </c>
      <c r="AK40" s="31">
        <v>928</v>
      </c>
      <c r="AL40" s="31">
        <v>929</v>
      </c>
      <c r="AM40" s="31">
        <v>981</v>
      </c>
      <c r="AN40" s="31">
        <v>903</v>
      </c>
      <c r="AO40" s="31">
        <v>988</v>
      </c>
      <c r="AP40" s="31">
        <v>932</v>
      </c>
      <c r="AQ40" s="31">
        <v>987</v>
      </c>
      <c r="AR40" s="115">
        <f t="shared" ca="1" si="15"/>
        <v>974</v>
      </c>
    </row>
    <row r="41" spans="1:44" x14ac:dyDescent="0.35">
      <c r="A41" t="s">
        <v>33</v>
      </c>
      <c r="B41" t="s">
        <v>38</v>
      </c>
      <c r="C41" s="36" t="str">
        <f t="shared" si="10"/>
        <v>WHU20</v>
      </c>
      <c r="D41" s="35">
        <v>953</v>
      </c>
      <c r="E41" s="31">
        <v>992</v>
      </c>
      <c r="F41" s="31">
        <v>939</v>
      </c>
      <c r="G41" s="31">
        <v>989</v>
      </c>
      <c r="H41" s="31">
        <v>945</v>
      </c>
      <c r="I41" s="31">
        <v>900</v>
      </c>
      <c r="J41" s="31">
        <v>902</v>
      </c>
      <c r="K41" s="31">
        <v>909</v>
      </c>
      <c r="L41" s="31">
        <v>957</v>
      </c>
      <c r="M41" s="31">
        <v>934</v>
      </c>
      <c r="N41" s="31">
        <v>970</v>
      </c>
      <c r="O41" s="31">
        <v>916</v>
      </c>
      <c r="P41" s="31">
        <v>974</v>
      </c>
      <c r="Q41" s="31">
        <v>966</v>
      </c>
      <c r="R41" s="31">
        <v>908</v>
      </c>
      <c r="S41" s="31">
        <v>900</v>
      </c>
      <c r="T41" s="31">
        <v>934</v>
      </c>
      <c r="U41" s="31">
        <v>956</v>
      </c>
      <c r="V41" s="31">
        <v>978</v>
      </c>
      <c r="W41" s="31">
        <v>988</v>
      </c>
      <c r="X41" s="31">
        <v>991</v>
      </c>
      <c r="Y41" s="31">
        <v>910</v>
      </c>
      <c r="Z41" s="31">
        <v>909</v>
      </c>
      <c r="AA41" s="31">
        <v>965</v>
      </c>
      <c r="AB41" s="31">
        <v>919</v>
      </c>
      <c r="AC41" s="31">
        <v>996</v>
      </c>
      <c r="AD41" s="31">
        <v>912</v>
      </c>
      <c r="AE41" s="31">
        <v>902</v>
      </c>
      <c r="AF41" s="31">
        <v>965</v>
      </c>
      <c r="AG41" s="31">
        <v>905</v>
      </c>
      <c r="AH41" s="31">
        <v>945</v>
      </c>
      <c r="AI41" s="31">
        <v>953</v>
      </c>
      <c r="AJ41" s="31">
        <v>961</v>
      </c>
      <c r="AK41" s="31">
        <v>928</v>
      </c>
      <c r="AL41" s="31">
        <v>994</v>
      </c>
      <c r="AM41" s="31">
        <v>974</v>
      </c>
      <c r="AN41" s="31">
        <v>977</v>
      </c>
      <c r="AO41" s="31">
        <v>923</v>
      </c>
      <c r="AP41" s="31">
        <v>925</v>
      </c>
      <c r="AQ41" s="31">
        <v>953</v>
      </c>
      <c r="AR41" s="115">
        <f t="shared" ca="1" si="15"/>
        <v>944</v>
      </c>
    </row>
    <row r="42" spans="1:44" x14ac:dyDescent="0.35">
      <c r="A42" t="s">
        <v>33</v>
      </c>
      <c r="B42" t="s">
        <v>6</v>
      </c>
      <c r="C42" s="36" t="str">
        <f t="shared" si="10"/>
        <v>WHZ20</v>
      </c>
      <c r="D42" s="35">
        <v>924</v>
      </c>
      <c r="E42" s="31">
        <v>950</v>
      </c>
      <c r="F42" s="31">
        <v>901</v>
      </c>
      <c r="G42" s="31">
        <v>922</v>
      </c>
      <c r="H42" s="31">
        <v>959</v>
      </c>
      <c r="I42" s="31">
        <v>982</v>
      </c>
      <c r="J42" s="31">
        <v>964</v>
      </c>
      <c r="K42" s="31">
        <v>987</v>
      </c>
      <c r="L42" s="31">
        <v>980</v>
      </c>
      <c r="M42" s="31">
        <v>934</v>
      </c>
      <c r="N42" s="31">
        <v>955</v>
      </c>
      <c r="O42" s="31">
        <v>937</v>
      </c>
      <c r="P42" s="31">
        <v>978</v>
      </c>
      <c r="Q42" s="31">
        <v>1000</v>
      </c>
      <c r="R42" s="31">
        <v>917</v>
      </c>
      <c r="S42" s="31">
        <v>918</v>
      </c>
      <c r="T42" s="31">
        <v>977</v>
      </c>
      <c r="U42" s="31">
        <v>974</v>
      </c>
      <c r="V42" s="31">
        <v>973</v>
      </c>
      <c r="W42" s="31">
        <v>990</v>
      </c>
      <c r="X42" s="31">
        <v>929</v>
      </c>
      <c r="Y42" s="31">
        <v>924</v>
      </c>
      <c r="Z42" s="31">
        <v>910</v>
      </c>
      <c r="AA42" s="31">
        <v>987</v>
      </c>
      <c r="AB42" s="31">
        <v>967</v>
      </c>
      <c r="AC42" s="31">
        <v>951</v>
      </c>
      <c r="AD42" s="31">
        <v>921</v>
      </c>
      <c r="AE42" s="31">
        <v>981</v>
      </c>
      <c r="AF42" s="31">
        <v>948</v>
      </c>
      <c r="AG42" s="31">
        <v>952</v>
      </c>
      <c r="AH42" s="31">
        <v>974</v>
      </c>
      <c r="AI42" s="31">
        <v>948</v>
      </c>
      <c r="AJ42" s="31">
        <v>920</v>
      </c>
      <c r="AK42" s="31">
        <v>910</v>
      </c>
      <c r="AL42" s="31">
        <v>996</v>
      </c>
      <c r="AM42" s="31">
        <v>982</v>
      </c>
      <c r="AN42" s="31">
        <v>980</v>
      </c>
      <c r="AO42" s="31">
        <v>974</v>
      </c>
      <c r="AP42" s="31">
        <v>983</v>
      </c>
      <c r="AQ42" s="31">
        <v>924</v>
      </c>
      <c r="AR42" s="115">
        <f t="shared" ca="1" si="15"/>
        <v>948</v>
      </c>
    </row>
    <row r="43" spans="1:44" x14ac:dyDescent="0.35">
      <c r="A43" t="s">
        <v>36</v>
      </c>
      <c r="B43" t="s">
        <v>51</v>
      </c>
      <c r="C43" s="36" t="str">
        <f t="shared" ref="C43:C135" si="16">A43&amp;B43</f>
        <v>KHF21</v>
      </c>
      <c r="D43" s="35">
        <v>904</v>
      </c>
      <c r="E43" s="31">
        <v>942</v>
      </c>
      <c r="F43" s="31">
        <v>945</v>
      </c>
      <c r="G43" s="31">
        <v>929</v>
      </c>
      <c r="H43" s="31">
        <v>926</v>
      </c>
      <c r="I43" s="31">
        <v>925</v>
      </c>
      <c r="J43" s="31">
        <v>973</v>
      </c>
      <c r="K43" s="31">
        <v>918</v>
      </c>
      <c r="L43" s="31">
        <v>986</v>
      </c>
      <c r="M43" s="31">
        <v>913</v>
      </c>
      <c r="N43" s="31">
        <v>911</v>
      </c>
      <c r="O43" s="31">
        <v>949</v>
      </c>
      <c r="P43" s="31">
        <v>969</v>
      </c>
      <c r="Q43" s="31">
        <v>988</v>
      </c>
      <c r="R43" s="31">
        <v>994</v>
      </c>
      <c r="S43" s="31">
        <v>930</v>
      </c>
      <c r="T43" s="31">
        <v>922</v>
      </c>
      <c r="U43" s="31">
        <v>1000</v>
      </c>
      <c r="V43" s="31">
        <v>978</v>
      </c>
      <c r="W43" s="31">
        <v>972</v>
      </c>
      <c r="X43" s="31">
        <v>966</v>
      </c>
      <c r="Y43" s="31">
        <v>947</v>
      </c>
      <c r="Z43" s="31">
        <v>926</v>
      </c>
      <c r="AA43" s="31">
        <v>931</v>
      </c>
      <c r="AB43" s="31">
        <v>975</v>
      </c>
      <c r="AC43" s="31">
        <v>988</v>
      </c>
      <c r="AD43" s="31">
        <v>991</v>
      </c>
      <c r="AE43" s="31">
        <v>943</v>
      </c>
      <c r="AF43" s="31">
        <v>951</v>
      </c>
      <c r="AG43" s="31">
        <v>985</v>
      </c>
      <c r="AH43" s="31">
        <v>904</v>
      </c>
      <c r="AI43" s="31">
        <v>935</v>
      </c>
      <c r="AJ43" s="31">
        <v>917</v>
      </c>
      <c r="AK43" s="31">
        <v>956</v>
      </c>
      <c r="AL43" s="31">
        <v>955</v>
      </c>
      <c r="AM43" s="31">
        <v>956</v>
      </c>
      <c r="AN43" s="31">
        <v>975</v>
      </c>
      <c r="AO43" s="31">
        <v>913</v>
      </c>
      <c r="AP43" s="31">
        <v>905</v>
      </c>
      <c r="AQ43" s="31">
        <v>904</v>
      </c>
      <c r="AR43" s="115">
        <f t="shared" ref="AQ43:AR48" ca="1" si="17">RANDBETWEEN(900,1000)</f>
        <v>907</v>
      </c>
    </row>
    <row r="44" spans="1:44" x14ac:dyDescent="0.35">
      <c r="A44" t="s">
        <v>36</v>
      </c>
      <c r="B44" t="s">
        <v>21</v>
      </c>
      <c r="C44" s="36" t="str">
        <f t="shared" si="16"/>
        <v>KHH20</v>
      </c>
      <c r="D44" s="35">
        <v>930</v>
      </c>
      <c r="E44" s="31">
        <v>922</v>
      </c>
      <c r="F44" s="31">
        <v>936</v>
      </c>
      <c r="G44" s="31">
        <v>940</v>
      </c>
      <c r="H44" s="31">
        <v>995</v>
      </c>
      <c r="I44" s="31">
        <v>977</v>
      </c>
      <c r="J44" s="31">
        <v>927</v>
      </c>
      <c r="K44" s="31">
        <v>935</v>
      </c>
      <c r="L44" s="31">
        <v>983</v>
      </c>
      <c r="M44" s="31">
        <v>985</v>
      </c>
      <c r="N44" s="31">
        <v>969</v>
      </c>
      <c r="O44" s="31">
        <v>987</v>
      </c>
      <c r="P44" s="31">
        <v>959</v>
      </c>
      <c r="Q44" s="31">
        <v>967</v>
      </c>
      <c r="R44" s="31">
        <v>970</v>
      </c>
      <c r="S44" s="31">
        <v>942</v>
      </c>
      <c r="T44" s="31">
        <v>987</v>
      </c>
      <c r="U44" s="31">
        <v>987</v>
      </c>
      <c r="V44" s="31">
        <v>934</v>
      </c>
      <c r="W44" s="31">
        <v>948</v>
      </c>
      <c r="X44" s="31">
        <v>998</v>
      </c>
      <c r="Y44" s="31">
        <v>981</v>
      </c>
      <c r="Z44" s="31">
        <v>964</v>
      </c>
      <c r="AA44" s="31">
        <v>962</v>
      </c>
      <c r="AB44" s="31">
        <v>908</v>
      </c>
      <c r="AC44" s="31">
        <v>945</v>
      </c>
      <c r="AD44" s="31">
        <v>970</v>
      </c>
      <c r="AE44" s="31">
        <v>966</v>
      </c>
      <c r="AF44" s="31">
        <v>993</v>
      </c>
      <c r="AG44" s="31">
        <v>945</v>
      </c>
      <c r="AH44" s="31">
        <v>933</v>
      </c>
      <c r="AI44" s="31">
        <v>954</v>
      </c>
      <c r="AJ44" s="31">
        <v>961</v>
      </c>
      <c r="AK44" s="31">
        <v>995</v>
      </c>
      <c r="AL44" s="31">
        <v>955</v>
      </c>
      <c r="AM44" s="31">
        <v>926</v>
      </c>
      <c r="AN44" s="31">
        <v>926</v>
      </c>
      <c r="AO44" s="31">
        <v>987</v>
      </c>
      <c r="AP44" s="31">
        <v>961</v>
      </c>
      <c r="AQ44" s="31">
        <v>930</v>
      </c>
      <c r="AR44" s="115">
        <f t="shared" ca="1" si="17"/>
        <v>914</v>
      </c>
    </row>
    <row r="45" spans="1:44" x14ac:dyDescent="0.35">
      <c r="A45" t="s">
        <v>36</v>
      </c>
      <c r="B45" t="s">
        <v>26</v>
      </c>
      <c r="C45" s="36" t="str">
        <f t="shared" si="16"/>
        <v>KHK20</v>
      </c>
      <c r="D45" s="35">
        <v>969</v>
      </c>
      <c r="E45" s="31">
        <v>965</v>
      </c>
      <c r="F45" s="31">
        <v>948</v>
      </c>
      <c r="G45" s="31">
        <v>929</v>
      </c>
      <c r="H45" s="31">
        <v>900</v>
      </c>
      <c r="I45" s="31">
        <v>992</v>
      </c>
      <c r="J45" s="31">
        <v>918</v>
      </c>
      <c r="K45" s="31">
        <v>938</v>
      </c>
      <c r="L45" s="31">
        <v>993</v>
      </c>
      <c r="M45" s="31">
        <v>964</v>
      </c>
      <c r="N45" s="31">
        <v>919</v>
      </c>
      <c r="O45" s="31">
        <v>965</v>
      </c>
      <c r="P45" s="31">
        <v>930</v>
      </c>
      <c r="Q45" s="31">
        <v>946</v>
      </c>
      <c r="R45" s="31">
        <v>929</v>
      </c>
      <c r="S45" s="31">
        <v>949</v>
      </c>
      <c r="T45" s="31">
        <v>900</v>
      </c>
      <c r="U45" s="31">
        <v>946</v>
      </c>
      <c r="V45" s="31">
        <v>940</v>
      </c>
      <c r="W45" s="31">
        <v>994</v>
      </c>
      <c r="X45" s="31">
        <v>962</v>
      </c>
      <c r="Y45" s="31">
        <v>928</v>
      </c>
      <c r="Z45" s="31">
        <v>908</v>
      </c>
      <c r="AA45" s="31">
        <v>916</v>
      </c>
      <c r="AB45" s="31">
        <v>904</v>
      </c>
      <c r="AC45" s="31">
        <v>951</v>
      </c>
      <c r="AD45" s="31">
        <v>975</v>
      </c>
      <c r="AE45" s="31">
        <v>921</v>
      </c>
      <c r="AF45" s="31">
        <v>930</v>
      </c>
      <c r="AG45" s="31">
        <v>912</v>
      </c>
      <c r="AH45" s="31">
        <v>911</v>
      </c>
      <c r="AI45" s="31">
        <v>985</v>
      </c>
      <c r="AJ45" s="31">
        <v>953</v>
      </c>
      <c r="AK45" s="31">
        <v>953</v>
      </c>
      <c r="AL45" s="31">
        <v>908</v>
      </c>
      <c r="AM45" s="31">
        <v>906</v>
      </c>
      <c r="AN45" s="31">
        <v>968</v>
      </c>
      <c r="AO45" s="31">
        <v>913</v>
      </c>
      <c r="AP45" s="31">
        <v>974</v>
      </c>
      <c r="AQ45" s="31">
        <v>969</v>
      </c>
      <c r="AR45" s="115">
        <f t="shared" ca="1" si="17"/>
        <v>949</v>
      </c>
    </row>
    <row r="46" spans="1:44" x14ac:dyDescent="0.35">
      <c r="A46" t="s">
        <v>36</v>
      </c>
      <c r="B46" t="s">
        <v>4</v>
      </c>
      <c r="C46" s="36" t="str">
        <f t="shared" si="16"/>
        <v>KHN20</v>
      </c>
      <c r="D46" s="35">
        <v>932</v>
      </c>
      <c r="E46" s="31">
        <v>987</v>
      </c>
      <c r="F46" s="31">
        <v>936</v>
      </c>
      <c r="G46" s="31">
        <v>992</v>
      </c>
      <c r="H46" s="31">
        <v>903</v>
      </c>
      <c r="I46" s="31">
        <v>965</v>
      </c>
      <c r="J46" s="31">
        <v>977</v>
      </c>
      <c r="K46" s="31">
        <v>931</v>
      </c>
      <c r="L46" s="31">
        <v>931</v>
      </c>
      <c r="M46" s="31">
        <v>971</v>
      </c>
      <c r="N46" s="31">
        <v>964</v>
      </c>
      <c r="O46" s="31">
        <v>986</v>
      </c>
      <c r="P46" s="31">
        <v>942</v>
      </c>
      <c r="Q46" s="31">
        <v>911</v>
      </c>
      <c r="R46" s="31">
        <v>974</v>
      </c>
      <c r="S46" s="31">
        <v>902</v>
      </c>
      <c r="T46" s="31">
        <v>1000</v>
      </c>
      <c r="U46" s="31">
        <v>967</v>
      </c>
      <c r="V46" s="31">
        <v>901</v>
      </c>
      <c r="W46" s="31">
        <v>960</v>
      </c>
      <c r="X46" s="31">
        <v>930</v>
      </c>
      <c r="Y46" s="31">
        <v>950</v>
      </c>
      <c r="Z46" s="31">
        <v>916</v>
      </c>
      <c r="AA46" s="31">
        <v>950</v>
      </c>
      <c r="AB46" s="31">
        <v>950</v>
      </c>
      <c r="AC46" s="31">
        <v>951</v>
      </c>
      <c r="AD46" s="31">
        <v>982</v>
      </c>
      <c r="AE46" s="31">
        <v>907</v>
      </c>
      <c r="AF46" s="31">
        <v>946</v>
      </c>
      <c r="AG46" s="31">
        <v>904</v>
      </c>
      <c r="AH46" s="31">
        <v>938</v>
      </c>
      <c r="AI46" s="31">
        <v>988</v>
      </c>
      <c r="AJ46" s="31">
        <v>923</v>
      </c>
      <c r="AK46" s="31">
        <v>939</v>
      </c>
      <c r="AL46" s="31">
        <v>913</v>
      </c>
      <c r="AM46" s="31">
        <v>994</v>
      </c>
      <c r="AN46" s="31">
        <v>937</v>
      </c>
      <c r="AO46" s="31">
        <v>988</v>
      </c>
      <c r="AP46" s="31">
        <v>901</v>
      </c>
      <c r="AQ46" s="31">
        <v>932</v>
      </c>
      <c r="AR46" s="115">
        <f t="shared" ca="1" si="17"/>
        <v>959</v>
      </c>
    </row>
    <row r="47" spans="1:44" x14ac:dyDescent="0.35">
      <c r="A47" t="s">
        <v>36</v>
      </c>
      <c r="B47" t="s">
        <v>38</v>
      </c>
      <c r="C47" s="36" t="str">
        <f t="shared" si="16"/>
        <v>KHU20</v>
      </c>
      <c r="D47" s="35">
        <v>903</v>
      </c>
      <c r="E47" s="31">
        <v>987</v>
      </c>
      <c r="F47" s="31">
        <v>934</v>
      </c>
      <c r="G47" s="31">
        <v>957</v>
      </c>
      <c r="H47" s="31">
        <v>970</v>
      </c>
      <c r="I47" s="31">
        <v>949</v>
      </c>
      <c r="J47" s="31">
        <v>926</v>
      </c>
      <c r="K47" s="31">
        <v>923</v>
      </c>
      <c r="L47" s="31">
        <v>903</v>
      </c>
      <c r="M47" s="31">
        <v>926</v>
      </c>
      <c r="N47" s="31">
        <v>993</v>
      </c>
      <c r="O47" s="31">
        <v>976</v>
      </c>
      <c r="P47" s="31">
        <v>944</v>
      </c>
      <c r="Q47" s="31">
        <v>985</v>
      </c>
      <c r="R47" s="31">
        <v>909</v>
      </c>
      <c r="S47" s="31">
        <v>907</v>
      </c>
      <c r="T47" s="31">
        <v>946</v>
      </c>
      <c r="U47" s="31">
        <v>925</v>
      </c>
      <c r="V47" s="31">
        <v>979</v>
      </c>
      <c r="W47" s="31">
        <v>950</v>
      </c>
      <c r="X47" s="31">
        <v>935</v>
      </c>
      <c r="Y47" s="31">
        <v>965</v>
      </c>
      <c r="Z47" s="31">
        <v>953</v>
      </c>
      <c r="AA47" s="31">
        <v>964</v>
      </c>
      <c r="AB47" s="31">
        <v>950</v>
      </c>
      <c r="AC47" s="31">
        <v>920</v>
      </c>
      <c r="AD47" s="31">
        <v>914</v>
      </c>
      <c r="AE47" s="31">
        <v>986</v>
      </c>
      <c r="AF47" s="31">
        <v>906</v>
      </c>
      <c r="AG47" s="31">
        <v>955</v>
      </c>
      <c r="AH47" s="31">
        <v>990</v>
      </c>
      <c r="AI47" s="31">
        <v>962</v>
      </c>
      <c r="AJ47" s="31">
        <v>956</v>
      </c>
      <c r="AK47" s="31">
        <v>967</v>
      </c>
      <c r="AL47" s="31">
        <v>913</v>
      </c>
      <c r="AM47" s="31">
        <v>979</v>
      </c>
      <c r="AN47" s="31">
        <v>936</v>
      </c>
      <c r="AO47" s="31">
        <v>945</v>
      </c>
      <c r="AP47" s="31">
        <v>940</v>
      </c>
      <c r="AQ47" s="31">
        <v>903</v>
      </c>
      <c r="AR47" s="115">
        <f t="shared" ca="1" si="17"/>
        <v>916</v>
      </c>
    </row>
    <row r="48" spans="1:44" x14ac:dyDescent="0.35">
      <c r="A48" t="s">
        <v>36</v>
      </c>
      <c r="B48" t="s">
        <v>6</v>
      </c>
      <c r="C48" s="36" t="str">
        <f t="shared" si="16"/>
        <v>KHZ20</v>
      </c>
      <c r="D48" s="35">
        <v>934</v>
      </c>
      <c r="E48" s="31">
        <v>986</v>
      </c>
      <c r="F48" s="31">
        <v>954</v>
      </c>
      <c r="G48" s="31">
        <v>942</v>
      </c>
      <c r="H48" s="31">
        <v>982</v>
      </c>
      <c r="I48" s="31">
        <v>922</v>
      </c>
      <c r="J48" s="31">
        <v>996</v>
      </c>
      <c r="K48" s="31">
        <v>918</v>
      </c>
      <c r="L48" s="31">
        <v>947</v>
      </c>
      <c r="M48" s="31">
        <v>929</v>
      </c>
      <c r="N48" s="31">
        <v>911</v>
      </c>
      <c r="O48" s="31">
        <v>964</v>
      </c>
      <c r="P48" s="31">
        <v>976</v>
      </c>
      <c r="Q48" s="31">
        <v>971</v>
      </c>
      <c r="R48" s="31">
        <v>996</v>
      </c>
      <c r="S48" s="31">
        <v>920</v>
      </c>
      <c r="T48" s="31">
        <v>992</v>
      </c>
      <c r="U48" s="31">
        <v>959</v>
      </c>
      <c r="V48" s="31">
        <v>904</v>
      </c>
      <c r="W48" s="31">
        <v>964</v>
      </c>
      <c r="X48" s="31">
        <v>906</v>
      </c>
      <c r="Y48" s="31">
        <v>932</v>
      </c>
      <c r="Z48" s="31">
        <v>956</v>
      </c>
      <c r="AA48" s="31">
        <v>967</v>
      </c>
      <c r="AB48" s="31">
        <v>970</v>
      </c>
      <c r="AC48" s="31">
        <v>984</v>
      </c>
      <c r="AD48" s="31">
        <v>977</v>
      </c>
      <c r="AE48" s="31">
        <v>910</v>
      </c>
      <c r="AF48" s="31">
        <v>962</v>
      </c>
      <c r="AG48" s="31">
        <v>952</v>
      </c>
      <c r="AH48" s="31">
        <v>934</v>
      </c>
      <c r="AI48" s="31">
        <v>932</v>
      </c>
      <c r="AJ48" s="31">
        <v>967</v>
      </c>
      <c r="AK48" s="31">
        <v>986</v>
      </c>
      <c r="AL48" s="31">
        <v>914</v>
      </c>
      <c r="AM48" s="31">
        <v>964</v>
      </c>
      <c r="AN48" s="31">
        <v>991</v>
      </c>
      <c r="AO48" s="31">
        <v>980</v>
      </c>
      <c r="AP48" s="31">
        <v>944</v>
      </c>
      <c r="AQ48" s="31">
        <v>934</v>
      </c>
      <c r="AR48" s="115">
        <f t="shared" ca="1" si="17"/>
        <v>932</v>
      </c>
    </row>
    <row r="49" spans="1:44" x14ac:dyDescent="0.35">
      <c r="A49" t="s">
        <v>39</v>
      </c>
      <c r="B49" t="s">
        <v>51</v>
      </c>
      <c r="C49" s="36" t="str">
        <f t="shared" si="16"/>
        <v>CNF21</v>
      </c>
      <c r="D49" s="35">
        <v>343</v>
      </c>
      <c r="E49" s="31">
        <v>336</v>
      </c>
      <c r="F49" s="31">
        <v>305</v>
      </c>
      <c r="G49" s="31">
        <v>307</v>
      </c>
      <c r="H49" s="31">
        <v>352</v>
      </c>
      <c r="I49" s="31">
        <v>347</v>
      </c>
      <c r="J49" s="31">
        <v>343</v>
      </c>
      <c r="K49" s="31">
        <v>328</v>
      </c>
      <c r="L49" s="31">
        <v>306</v>
      </c>
      <c r="M49" s="31">
        <v>324</v>
      </c>
      <c r="N49" s="31">
        <v>366</v>
      </c>
      <c r="O49" s="31">
        <v>364</v>
      </c>
      <c r="P49" s="31">
        <v>344</v>
      </c>
      <c r="Q49" s="31">
        <v>307</v>
      </c>
      <c r="R49" s="31">
        <v>326</v>
      </c>
      <c r="S49" s="31">
        <v>309</v>
      </c>
      <c r="T49" s="31">
        <v>318</v>
      </c>
      <c r="U49" s="31">
        <v>356</v>
      </c>
      <c r="V49" s="31">
        <v>368</v>
      </c>
      <c r="W49" s="31">
        <v>357</v>
      </c>
      <c r="X49" s="31">
        <v>302</v>
      </c>
      <c r="Y49" s="31">
        <v>337</v>
      </c>
      <c r="Z49" s="31">
        <v>306</v>
      </c>
      <c r="AA49" s="31">
        <v>343</v>
      </c>
      <c r="AB49" s="31">
        <v>328</v>
      </c>
      <c r="AC49" s="31">
        <v>346</v>
      </c>
      <c r="AD49" s="31">
        <v>332</v>
      </c>
      <c r="AE49" s="31">
        <v>308</v>
      </c>
      <c r="AF49" s="31">
        <v>351</v>
      </c>
      <c r="AG49" s="31">
        <v>361</v>
      </c>
      <c r="AH49" s="31">
        <v>362</v>
      </c>
      <c r="AI49" s="31">
        <v>354</v>
      </c>
      <c r="AJ49" s="31">
        <v>318</v>
      </c>
      <c r="AK49" s="31">
        <v>348</v>
      </c>
      <c r="AL49" s="31">
        <v>309</v>
      </c>
      <c r="AM49" s="31">
        <v>324</v>
      </c>
      <c r="AN49" s="31">
        <v>331</v>
      </c>
      <c r="AO49" s="31">
        <v>300</v>
      </c>
      <c r="AP49" s="31">
        <v>334</v>
      </c>
      <c r="AQ49" s="31">
        <v>343</v>
      </c>
      <c r="AR49" s="115">
        <f t="shared" ref="AQ49:AR54" ca="1" si="18">RANDBETWEEN(300,370)</f>
        <v>342</v>
      </c>
    </row>
    <row r="50" spans="1:44" x14ac:dyDescent="0.35">
      <c r="A50" t="s">
        <v>39</v>
      </c>
      <c r="B50" t="s">
        <v>21</v>
      </c>
      <c r="C50" s="36" t="str">
        <f t="shared" si="16"/>
        <v>CNH20</v>
      </c>
      <c r="D50" s="35">
        <v>318</v>
      </c>
      <c r="E50" s="31">
        <v>336</v>
      </c>
      <c r="F50" s="31">
        <v>339</v>
      </c>
      <c r="G50" s="31">
        <v>329</v>
      </c>
      <c r="H50" s="31">
        <v>359</v>
      </c>
      <c r="I50" s="31">
        <v>311</v>
      </c>
      <c r="J50" s="31">
        <v>340</v>
      </c>
      <c r="K50" s="31">
        <v>333</v>
      </c>
      <c r="L50" s="31">
        <v>361</v>
      </c>
      <c r="M50" s="31">
        <v>315</v>
      </c>
      <c r="N50" s="31">
        <v>362</v>
      </c>
      <c r="O50" s="31">
        <v>354</v>
      </c>
      <c r="P50" s="31">
        <v>305</v>
      </c>
      <c r="Q50" s="31">
        <v>352</v>
      </c>
      <c r="R50" s="31">
        <v>362</v>
      </c>
      <c r="S50" s="31">
        <v>311</v>
      </c>
      <c r="T50" s="31">
        <v>336</v>
      </c>
      <c r="U50" s="31">
        <v>312</v>
      </c>
      <c r="V50" s="31">
        <v>314</v>
      </c>
      <c r="W50" s="31">
        <v>335</v>
      </c>
      <c r="X50" s="31">
        <v>331</v>
      </c>
      <c r="Y50" s="31">
        <v>302</v>
      </c>
      <c r="Z50" s="31">
        <v>334</v>
      </c>
      <c r="AA50" s="31">
        <v>320</v>
      </c>
      <c r="AB50" s="31">
        <v>365</v>
      </c>
      <c r="AC50" s="31">
        <v>354</v>
      </c>
      <c r="AD50" s="31">
        <v>336</v>
      </c>
      <c r="AE50" s="31">
        <v>315</v>
      </c>
      <c r="AF50" s="31">
        <v>351</v>
      </c>
      <c r="AG50" s="31">
        <v>356</v>
      </c>
      <c r="AH50" s="31">
        <v>324</v>
      </c>
      <c r="AI50" s="31">
        <v>369</v>
      </c>
      <c r="AJ50" s="31">
        <v>326</v>
      </c>
      <c r="AK50" s="31">
        <v>352</v>
      </c>
      <c r="AL50" s="31">
        <v>350</v>
      </c>
      <c r="AM50" s="31">
        <v>310</v>
      </c>
      <c r="AN50" s="31">
        <v>339</v>
      </c>
      <c r="AO50" s="31">
        <v>352</v>
      </c>
      <c r="AP50" s="31">
        <v>341</v>
      </c>
      <c r="AQ50" s="31">
        <v>318</v>
      </c>
      <c r="AR50" s="115">
        <f t="shared" ca="1" si="18"/>
        <v>370</v>
      </c>
    </row>
    <row r="51" spans="1:44" x14ac:dyDescent="0.35">
      <c r="A51" t="s">
        <v>39</v>
      </c>
      <c r="B51" t="s">
        <v>26</v>
      </c>
      <c r="C51" s="36" t="str">
        <f t="shared" si="16"/>
        <v>CNK20</v>
      </c>
      <c r="D51" s="35">
        <v>361</v>
      </c>
      <c r="E51" s="31">
        <v>336</v>
      </c>
      <c r="F51" s="31">
        <v>357</v>
      </c>
      <c r="G51" s="31">
        <v>343</v>
      </c>
      <c r="H51" s="31">
        <v>317</v>
      </c>
      <c r="I51" s="31">
        <v>339</v>
      </c>
      <c r="J51" s="31">
        <v>363</v>
      </c>
      <c r="K51" s="31">
        <v>360</v>
      </c>
      <c r="L51" s="31">
        <v>332</v>
      </c>
      <c r="M51" s="31">
        <v>345</v>
      </c>
      <c r="N51" s="31">
        <v>338</v>
      </c>
      <c r="O51" s="31">
        <v>330</v>
      </c>
      <c r="P51" s="31">
        <v>341</v>
      </c>
      <c r="Q51" s="31">
        <v>309</v>
      </c>
      <c r="R51" s="31">
        <v>327</v>
      </c>
      <c r="S51" s="31">
        <v>366</v>
      </c>
      <c r="T51" s="31">
        <v>360</v>
      </c>
      <c r="U51" s="31">
        <v>327</v>
      </c>
      <c r="V51" s="31">
        <v>321</v>
      </c>
      <c r="W51" s="31">
        <v>356</v>
      </c>
      <c r="X51" s="31">
        <v>330</v>
      </c>
      <c r="Y51" s="31">
        <v>324</v>
      </c>
      <c r="Z51" s="31">
        <v>338</v>
      </c>
      <c r="AA51" s="31">
        <v>310</v>
      </c>
      <c r="AB51" s="31">
        <v>344</v>
      </c>
      <c r="AC51" s="31">
        <v>357</v>
      </c>
      <c r="AD51" s="31">
        <v>369</v>
      </c>
      <c r="AE51" s="31">
        <v>336</v>
      </c>
      <c r="AF51" s="31">
        <v>340</v>
      </c>
      <c r="AG51" s="31">
        <v>308</v>
      </c>
      <c r="AH51" s="31">
        <v>305</v>
      </c>
      <c r="AI51" s="31">
        <v>319</v>
      </c>
      <c r="AJ51" s="31">
        <v>361</v>
      </c>
      <c r="AK51" s="31">
        <v>318</v>
      </c>
      <c r="AL51" s="31">
        <v>313</v>
      </c>
      <c r="AM51" s="31">
        <v>367</v>
      </c>
      <c r="AN51" s="31">
        <v>352</v>
      </c>
      <c r="AO51" s="31">
        <v>326</v>
      </c>
      <c r="AP51" s="31">
        <v>327</v>
      </c>
      <c r="AQ51" s="31">
        <v>361</v>
      </c>
      <c r="AR51" s="115">
        <f t="shared" ca="1" si="18"/>
        <v>320</v>
      </c>
    </row>
    <row r="52" spans="1:44" x14ac:dyDescent="0.35">
      <c r="A52" t="s">
        <v>39</v>
      </c>
      <c r="B52" t="s">
        <v>4</v>
      </c>
      <c r="C52" s="36" t="str">
        <f t="shared" si="16"/>
        <v>CNN20</v>
      </c>
      <c r="D52" s="35">
        <v>351</v>
      </c>
      <c r="E52" s="31">
        <v>302</v>
      </c>
      <c r="F52" s="31">
        <v>326</v>
      </c>
      <c r="G52" s="31">
        <v>359</v>
      </c>
      <c r="H52" s="31">
        <v>308</v>
      </c>
      <c r="I52" s="31">
        <v>369</v>
      </c>
      <c r="J52" s="31">
        <v>354</v>
      </c>
      <c r="K52" s="31">
        <v>364</v>
      </c>
      <c r="L52" s="31">
        <v>345</v>
      </c>
      <c r="M52" s="31">
        <v>319</v>
      </c>
      <c r="N52" s="31">
        <v>302</v>
      </c>
      <c r="O52" s="31">
        <v>320</v>
      </c>
      <c r="P52" s="31">
        <v>309</v>
      </c>
      <c r="Q52" s="31">
        <v>335</v>
      </c>
      <c r="R52" s="31">
        <v>326</v>
      </c>
      <c r="S52" s="31">
        <v>306</v>
      </c>
      <c r="T52" s="31">
        <v>352</v>
      </c>
      <c r="U52" s="31">
        <v>353</v>
      </c>
      <c r="V52" s="31">
        <v>346</v>
      </c>
      <c r="W52" s="31">
        <v>317</v>
      </c>
      <c r="X52" s="31">
        <v>358</v>
      </c>
      <c r="Y52" s="31">
        <v>364</v>
      </c>
      <c r="Z52" s="31">
        <v>309</v>
      </c>
      <c r="AA52" s="31">
        <v>313</v>
      </c>
      <c r="AB52" s="31">
        <v>336</v>
      </c>
      <c r="AC52" s="31">
        <v>369</v>
      </c>
      <c r="AD52" s="31">
        <v>359</v>
      </c>
      <c r="AE52" s="31">
        <v>346</v>
      </c>
      <c r="AF52" s="31">
        <v>344</v>
      </c>
      <c r="AG52" s="31">
        <v>322</v>
      </c>
      <c r="AH52" s="31">
        <v>368</v>
      </c>
      <c r="AI52" s="31">
        <v>314</v>
      </c>
      <c r="AJ52" s="31">
        <v>370</v>
      </c>
      <c r="AK52" s="31">
        <v>330</v>
      </c>
      <c r="AL52" s="31">
        <v>355</v>
      </c>
      <c r="AM52" s="31">
        <v>309</v>
      </c>
      <c r="AN52" s="31">
        <v>316</v>
      </c>
      <c r="AO52" s="31">
        <v>336</v>
      </c>
      <c r="AP52" s="31">
        <v>330</v>
      </c>
      <c r="AQ52" s="31">
        <v>351</v>
      </c>
      <c r="AR52" s="115">
        <f t="shared" ca="1" si="18"/>
        <v>331</v>
      </c>
    </row>
    <row r="53" spans="1:44" x14ac:dyDescent="0.35">
      <c r="A53" t="s">
        <v>39</v>
      </c>
      <c r="B53" t="s">
        <v>38</v>
      </c>
      <c r="C53" s="36" t="str">
        <f t="shared" si="16"/>
        <v>CNU20</v>
      </c>
      <c r="D53" s="35">
        <v>351</v>
      </c>
      <c r="E53" s="31">
        <v>339</v>
      </c>
      <c r="F53" s="31">
        <v>311</v>
      </c>
      <c r="G53" s="31">
        <v>356</v>
      </c>
      <c r="H53" s="31">
        <v>355</v>
      </c>
      <c r="I53" s="31">
        <v>346</v>
      </c>
      <c r="J53" s="31">
        <v>322</v>
      </c>
      <c r="K53" s="31">
        <v>305</v>
      </c>
      <c r="L53" s="31">
        <v>370</v>
      </c>
      <c r="M53" s="31">
        <v>348</v>
      </c>
      <c r="N53" s="31">
        <v>361</v>
      </c>
      <c r="O53" s="31">
        <v>370</v>
      </c>
      <c r="P53" s="31">
        <v>319</v>
      </c>
      <c r="Q53" s="31">
        <v>359</v>
      </c>
      <c r="R53" s="31">
        <v>356</v>
      </c>
      <c r="S53" s="31">
        <v>324</v>
      </c>
      <c r="T53" s="31">
        <v>367</v>
      </c>
      <c r="U53" s="31">
        <v>320</v>
      </c>
      <c r="V53" s="31">
        <v>305</v>
      </c>
      <c r="W53" s="31">
        <v>367</v>
      </c>
      <c r="X53" s="31">
        <v>358</v>
      </c>
      <c r="Y53" s="31">
        <v>310</v>
      </c>
      <c r="Z53" s="31">
        <v>353</v>
      </c>
      <c r="AA53" s="31">
        <v>356</v>
      </c>
      <c r="AB53" s="31">
        <v>342</v>
      </c>
      <c r="AC53" s="31">
        <v>340</v>
      </c>
      <c r="AD53" s="31">
        <v>370</v>
      </c>
      <c r="AE53" s="31">
        <v>354</v>
      </c>
      <c r="AF53" s="31">
        <v>347</v>
      </c>
      <c r="AG53" s="31">
        <v>322</v>
      </c>
      <c r="AH53" s="31">
        <v>316</v>
      </c>
      <c r="AI53" s="31">
        <v>350</v>
      </c>
      <c r="AJ53" s="31">
        <v>302</v>
      </c>
      <c r="AK53" s="31">
        <v>334</v>
      </c>
      <c r="AL53" s="31">
        <v>306</v>
      </c>
      <c r="AM53" s="31">
        <v>327</v>
      </c>
      <c r="AN53" s="31">
        <v>325</v>
      </c>
      <c r="AO53" s="31">
        <v>339</v>
      </c>
      <c r="AP53" s="31">
        <v>312</v>
      </c>
      <c r="AQ53" s="31">
        <v>351</v>
      </c>
      <c r="AR53" s="115">
        <f t="shared" ca="1" si="18"/>
        <v>315</v>
      </c>
    </row>
    <row r="54" spans="1:44" x14ac:dyDescent="0.35">
      <c r="A54" t="s">
        <v>39</v>
      </c>
      <c r="B54" t="s">
        <v>6</v>
      </c>
      <c r="C54" s="36" t="str">
        <f t="shared" si="16"/>
        <v>CNZ20</v>
      </c>
      <c r="D54" s="35">
        <v>370</v>
      </c>
      <c r="E54" s="31">
        <v>364</v>
      </c>
      <c r="F54" s="31">
        <v>367</v>
      </c>
      <c r="G54" s="31">
        <v>309</v>
      </c>
      <c r="H54" s="31">
        <v>344</v>
      </c>
      <c r="I54" s="31">
        <v>322</v>
      </c>
      <c r="J54" s="31">
        <v>310</v>
      </c>
      <c r="K54" s="31">
        <v>300</v>
      </c>
      <c r="L54" s="31">
        <v>330</v>
      </c>
      <c r="M54" s="31">
        <v>345</v>
      </c>
      <c r="N54" s="31">
        <v>302</v>
      </c>
      <c r="O54" s="31">
        <v>341</v>
      </c>
      <c r="P54" s="31">
        <v>369</v>
      </c>
      <c r="Q54" s="31">
        <v>362</v>
      </c>
      <c r="R54" s="31">
        <v>339</v>
      </c>
      <c r="S54" s="31">
        <v>328</v>
      </c>
      <c r="T54" s="31">
        <v>358</v>
      </c>
      <c r="U54" s="31">
        <v>305</v>
      </c>
      <c r="V54" s="31">
        <v>301</v>
      </c>
      <c r="W54" s="31">
        <v>320</v>
      </c>
      <c r="X54" s="31">
        <v>348</v>
      </c>
      <c r="Y54" s="31">
        <v>304</v>
      </c>
      <c r="Z54" s="31">
        <v>302</v>
      </c>
      <c r="AA54" s="31">
        <v>318</v>
      </c>
      <c r="AB54" s="31">
        <v>362</v>
      </c>
      <c r="AC54" s="31">
        <v>334</v>
      </c>
      <c r="AD54" s="31">
        <v>370</v>
      </c>
      <c r="AE54" s="31">
        <v>302</v>
      </c>
      <c r="AF54" s="31">
        <v>327</v>
      </c>
      <c r="AG54" s="31">
        <v>344</v>
      </c>
      <c r="AH54" s="31">
        <v>365</v>
      </c>
      <c r="AI54" s="31">
        <v>364</v>
      </c>
      <c r="AJ54" s="31">
        <v>337</v>
      </c>
      <c r="AK54" s="31">
        <v>349</v>
      </c>
      <c r="AL54" s="31">
        <v>305</v>
      </c>
      <c r="AM54" s="31">
        <v>334</v>
      </c>
      <c r="AN54" s="31">
        <v>351</v>
      </c>
      <c r="AO54" s="31">
        <v>324</v>
      </c>
      <c r="AP54" s="31">
        <v>345</v>
      </c>
      <c r="AQ54" s="31">
        <v>370</v>
      </c>
      <c r="AR54" s="115">
        <f t="shared" ca="1" si="18"/>
        <v>314</v>
      </c>
    </row>
    <row r="55" spans="1:44" x14ac:dyDescent="0.35">
      <c r="A55" t="s">
        <v>63</v>
      </c>
      <c r="B55" t="s">
        <v>54</v>
      </c>
      <c r="C55" s="36" t="str">
        <f t="shared" si="16"/>
        <v>COG21</v>
      </c>
      <c r="D55" s="35">
        <v>57</v>
      </c>
      <c r="E55" s="31">
        <v>63</v>
      </c>
      <c r="F55" s="31">
        <v>61</v>
      </c>
      <c r="G55" s="31">
        <v>57</v>
      </c>
      <c r="H55" s="31">
        <v>57</v>
      </c>
      <c r="I55" s="31">
        <v>58</v>
      </c>
      <c r="J55" s="31">
        <v>60</v>
      </c>
      <c r="K55" s="31">
        <v>63</v>
      </c>
      <c r="L55" s="31">
        <v>56</v>
      </c>
      <c r="M55" s="31">
        <v>60</v>
      </c>
      <c r="N55" s="31">
        <v>57</v>
      </c>
      <c r="O55" s="31">
        <v>55</v>
      </c>
      <c r="P55" s="31">
        <v>60</v>
      </c>
      <c r="Q55" s="31">
        <v>57</v>
      </c>
      <c r="R55" s="31">
        <v>63</v>
      </c>
      <c r="S55" s="31">
        <v>59</v>
      </c>
      <c r="T55" s="31">
        <v>55</v>
      </c>
      <c r="U55" s="31">
        <v>63</v>
      </c>
      <c r="V55" s="31">
        <v>61</v>
      </c>
      <c r="W55" s="31">
        <v>56</v>
      </c>
      <c r="X55" s="31">
        <v>58</v>
      </c>
      <c r="Y55" s="31">
        <v>55</v>
      </c>
      <c r="Z55" s="31">
        <v>61</v>
      </c>
      <c r="AA55" s="31">
        <v>56</v>
      </c>
      <c r="AB55" s="31">
        <v>61</v>
      </c>
      <c r="AC55" s="31">
        <v>60</v>
      </c>
      <c r="AD55" s="31">
        <v>58</v>
      </c>
      <c r="AE55" s="31">
        <v>61</v>
      </c>
      <c r="AF55" s="31">
        <v>58</v>
      </c>
      <c r="AG55" s="31">
        <v>58</v>
      </c>
      <c r="AH55" s="31">
        <v>55</v>
      </c>
      <c r="AI55" s="31">
        <v>57</v>
      </c>
      <c r="AJ55" s="31">
        <v>56</v>
      </c>
      <c r="AK55" s="31">
        <v>57</v>
      </c>
      <c r="AL55" s="31">
        <v>56</v>
      </c>
      <c r="AM55" s="31">
        <v>58</v>
      </c>
      <c r="AN55" s="31">
        <v>63</v>
      </c>
      <c r="AO55" s="31">
        <v>56</v>
      </c>
      <c r="AP55" s="31">
        <v>61</v>
      </c>
      <c r="AQ55" s="31">
        <v>57</v>
      </c>
      <c r="AR55" s="115">
        <f t="shared" ref="AQ55:AR60" ca="1" si="19">RANDBETWEEN(55,63)</f>
        <v>63</v>
      </c>
    </row>
    <row r="56" spans="1:44" x14ac:dyDescent="0.35">
      <c r="A56" t="s">
        <v>63</v>
      </c>
      <c r="B56" t="s">
        <v>24</v>
      </c>
      <c r="C56" s="36" t="str">
        <f t="shared" si="16"/>
        <v>COJ20</v>
      </c>
      <c r="D56" s="35">
        <v>63</v>
      </c>
      <c r="E56" s="31">
        <v>59</v>
      </c>
      <c r="F56" s="31">
        <v>55</v>
      </c>
      <c r="G56" s="31">
        <v>56</v>
      </c>
      <c r="H56" s="31">
        <v>63</v>
      </c>
      <c r="I56" s="31">
        <v>63</v>
      </c>
      <c r="J56" s="31">
        <v>57</v>
      </c>
      <c r="K56" s="31">
        <v>56</v>
      </c>
      <c r="L56" s="31">
        <v>59</v>
      </c>
      <c r="M56" s="31">
        <v>57</v>
      </c>
      <c r="N56" s="31">
        <v>61</v>
      </c>
      <c r="O56" s="31">
        <v>59</v>
      </c>
      <c r="P56" s="31">
        <v>63</v>
      </c>
      <c r="Q56" s="31">
        <v>61</v>
      </c>
      <c r="R56" s="31">
        <v>56</v>
      </c>
      <c r="S56" s="31">
        <v>61</v>
      </c>
      <c r="T56" s="31">
        <v>56</v>
      </c>
      <c r="U56" s="31">
        <v>62</v>
      </c>
      <c r="V56" s="31">
        <v>58</v>
      </c>
      <c r="W56" s="31">
        <v>61</v>
      </c>
      <c r="X56" s="31">
        <v>55</v>
      </c>
      <c r="Y56" s="31">
        <v>56</v>
      </c>
      <c r="Z56" s="31">
        <v>62</v>
      </c>
      <c r="AA56" s="31">
        <v>60</v>
      </c>
      <c r="AB56" s="31">
        <v>58</v>
      </c>
      <c r="AC56" s="31">
        <v>62</v>
      </c>
      <c r="AD56" s="31">
        <v>62</v>
      </c>
      <c r="AE56" s="31">
        <v>63</v>
      </c>
      <c r="AF56" s="31">
        <v>59</v>
      </c>
      <c r="AG56" s="31">
        <v>61</v>
      </c>
      <c r="AH56" s="31">
        <v>59</v>
      </c>
      <c r="AI56" s="31">
        <v>63</v>
      </c>
      <c r="AJ56" s="31">
        <v>57</v>
      </c>
      <c r="AK56" s="31">
        <v>55</v>
      </c>
      <c r="AL56" s="31">
        <v>59</v>
      </c>
      <c r="AM56" s="31">
        <v>60</v>
      </c>
      <c r="AN56" s="31">
        <v>59</v>
      </c>
      <c r="AO56" s="31">
        <v>60</v>
      </c>
      <c r="AP56" s="31">
        <v>59</v>
      </c>
      <c r="AQ56" s="31">
        <v>63</v>
      </c>
      <c r="AR56" s="115">
        <f t="shared" ca="1" si="19"/>
        <v>60</v>
      </c>
    </row>
    <row r="57" spans="1:44" x14ac:dyDescent="0.35">
      <c r="A57" t="s">
        <v>63</v>
      </c>
      <c r="B57" t="s">
        <v>29</v>
      </c>
      <c r="C57" s="36" t="str">
        <f t="shared" si="16"/>
        <v>COM20</v>
      </c>
      <c r="D57" s="35">
        <v>60</v>
      </c>
      <c r="E57" s="31">
        <v>61</v>
      </c>
      <c r="F57" s="31">
        <v>58</v>
      </c>
      <c r="G57" s="31">
        <v>56</v>
      </c>
      <c r="H57" s="31">
        <v>62</v>
      </c>
      <c r="I57" s="31">
        <v>63</v>
      </c>
      <c r="J57" s="31">
        <v>60</v>
      </c>
      <c r="K57" s="31">
        <v>56</v>
      </c>
      <c r="L57" s="31">
        <v>56</v>
      </c>
      <c r="M57" s="31">
        <v>61</v>
      </c>
      <c r="N57" s="31">
        <v>63</v>
      </c>
      <c r="O57" s="31">
        <v>62</v>
      </c>
      <c r="P57" s="31">
        <v>55</v>
      </c>
      <c r="Q57" s="31">
        <v>55</v>
      </c>
      <c r="R57" s="31">
        <v>56</v>
      </c>
      <c r="S57" s="31">
        <v>57</v>
      </c>
      <c r="T57" s="31">
        <v>59</v>
      </c>
      <c r="U57" s="31">
        <v>58</v>
      </c>
      <c r="V57" s="31">
        <v>55</v>
      </c>
      <c r="W57" s="31">
        <v>62</v>
      </c>
      <c r="X57" s="31">
        <v>56</v>
      </c>
      <c r="Y57" s="31">
        <v>57</v>
      </c>
      <c r="Z57" s="31">
        <v>62</v>
      </c>
      <c r="AA57" s="31">
        <v>56</v>
      </c>
      <c r="AB57" s="31">
        <v>58</v>
      </c>
      <c r="AC57" s="31">
        <v>57</v>
      </c>
      <c r="AD57" s="31">
        <v>55</v>
      </c>
      <c r="AE57" s="31">
        <v>63</v>
      </c>
      <c r="AF57" s="31">
        <v>59</v>
      </c>
      <c r="AG57" s="31">
        <v>55</v>
      </c>
      <c r="AH57" s="31">
        <v>56</v>
      </c>
      <c r="AI57" s="31">
        <v>59</v>
      </c>
      <c r="AJ57" s="31">
        <v>60</v>
      </c>
      <c r="AK57" s="31">
        <v>55</v>
      </c>
      <c r="AL57" s="31">
        <v>59</v>
      </c>
      <c r="AM57" s="31">
        <v>58</v>
      </c>
      <c r="AN57" s="31">
        <v>55</v>
      </c>
      <c r="AO57" s="31">
        <v>57</v>
      </c>
      <c r="AP57" s="31">
        <v>55</v>
      </c>
      <c r="AQ57" s="31">
        <v>60</v>
      </c>
      <c r="AR57" s="115">
        <f t="shared" ca="1" si="19"/>
        <v>55</v>
      </c>
    </row>
    <row r="58" spans="1:44" x14ac:dyDescent="0.35">
      <c r="A58" t="s">
        <v>63</v>
      </c>
      <c r="B58" t="s">
        <v>35</v>
      </c>
      <c r="C58" s="36" t="str">
        <f t="shared" si="16"/>
        <v>COQ20</v>
      </c>
      <c r="D58" s="35">
        <v>63</v>
      </c>
      <c r="E58" s="31">
        <v>62</v>
      </c>
      <c r="F58" s="31">
        <v>62</v>
      </c>
      <c r="G58" s="31">
        <v>57</v>
      </c>
      <c r="H58" s="31">
        <v>58</v>
      </c>
      <c r="I58" s="31">
        <v>60</v>
      </c>
      <c r="J58" s="31">
        <v>62</v>
      </c>
      <c r="K58" s="31">
        <v>62</v>
      </c>
      <c r="L58" s="31">
        <v>57</v>
      </c>
      <c r="M58" s="31">
        <v>61</v>
      </c>
      <c r="N58" s="31">
        <v>56</v>
      </c>
      <c r="O58" s="31">
        <v>56</v>
      </c>
      <c r="P58" s="31">
        <v>55</v>
      </c>
      <c r="Q58" s="31">
        <v>63</v>
      </c>
      <c r="R58" s="31">
        <v>56</v>
      </c>
      <c r="S58" s="31">
        <v>62</v>
      </c>
      <c r="T58" s="31">
        <v>55</v>
      </c>
      <c r="U58" s="31">
        <v>55</v>
      </c>
      <c r="V58" s="31">
        <v>56</v>
      </c>
      <c r="W58" s="31">
        <v>58</v>
      </c>
      <c r="X58" s="31">
        <v>60</v>
      </c>
      <c r="Y58" s="31">
        <v>62</v>
      </c>
      <c r="Z58" s="31">
        <v>56</v>
      </c>
      <c r="AA58" s="31">
        <v>63</v>
      </c>
      <c r="AB58" s="31">
        <v>61</v>
      </c>
      <c r="AC58" s="31">
        <v>55</v>
      </c>
      <c r="AD58" s="31">
        <v>55</v>
      </c>
      <c r="AE58" s="31">
        <v>63</v>
      </c>
      <c r="AF58" s="31">
        <v>63</v>
      </c>
      <c r="AG58" s="31">
        <v>61</v>
      </c>
      <c r="AH58" s="31">
        <v>61</v>
      </c>
      <c r="AI58" s="31">
        <v>60</v>
      </c>
      <c r="AJ58" s="31">
        <v>59</v>
      </c>
      <c r="AK58" s="31">
        <v>56</v>
      </c>
      <c r="AL58" s="31">
        <v>57</v>
      </c>
      <c r="AM58" s="31">
        <v>59</v>
      </c>
      <c r="AN58" s="31">
        <v>55</v>
      </c>
      <c r="AO58" s="31">
        <v>61</v>
      </c>
      <c r="AP58" s="31">
        <v>60</v>
      </c>
      <c r="AQ58" s="31">
        <v>63</v>
      </c>
      <c r="AR58" s="115">
        <f t="shared" ca="1" si="19"/>
        <v>61</v>
      </c>
    </row>
    <row r="59" spans="1:44" x14ac:dyDescent="0.35">
      <c r="A59" t="s">
        <v>63</v>
      </c>
      <c r="B59" t="s">
        <v>41</v>
      </c>
      <c r="C59" s="36" t="str">
        <f t="shared" si="16"/>
        <v>COV20</v>
      </c>
      <c r="D59" s="35">
        <v>58</v>
      </c>
      <c r="E59" s="31">
        <v>57</v>
      </c>
      <c r="F59" s="31">
        <v>60</v>
      </c>
      <c r="G59" s="31">
        <v>55</v>
      </c>
      <c r="H59" s="31">
        <v>61</v>
      </c>
      <c r="I59" s="31">
        <v>63</v>
      </c>
      <c r="J59" s="31">
        <v>56</v>
      </c>
      <c r="K59" s="31">
        <v>62</v>
      </c>
      <c r="L59" s="31">
        <v>61</v>
      </c>
      <c r="M59" s="31">
        <v>62</v>
      </c>
      <c r="N59" s="31">
        <v>59</v>
      </c>
      <c r="O59" s="31">
        <v>58</v>
      </c>
      <c r="P59" s="31">
        <v>58</v>
      </c>
      <c r="Q59" s="31">
        <v>57</v>
      </c>
      <c r="R59" s="31">
        <v>62</v>
      </c>
      <c r="S59" s="31">
        <v>63</v>
      </c>
      <c r="T59" s="31">
        <v>59</v>
      </c>
      <c r="U59" s="31">
        <v>61</v>
      </c>
      <c r="V59" s="31">
        <v>61</v>
      </c>
      <c r="W59" s="31">
        <v>59</v>
      </c>
      <c r="X59" s="31">
        <v>61</v>
      </c>
      <c r="Y59" s="31">
        <v>60</v>
      </c>
      <c r="Z59" s="31">
        <v>60</v>
      </c>
      <c r="AA59" s="31">
        <v>59</v>
      </c>
      <c r="AB59" s="31">
        <v>59</v>
      </c>
      <c r="AC59" s="31">
        <v>60</v>
      </c>
      <c r="AD59" s="31">
        <v>63</v>
      </c>
      <c r="AE59" s="31">
        <v>61</v>
      </c>
      <c r="AF59" s="31">
        <v>62</v>
      </c>
      <c r="AG59" s="31">
        <v>62</v>
      </c>
      <c r="AH59" s="31">
        <v>55</v>
      </c>
      <c r="AI59" s="31">
        <v>56</v>
      </c>
      <c r="AJ59" s="31">
        <v>57</v>
      </c>
      <c r="AK59" s="31">
        <v>59</v>
      </c>
      <c r="AL59" s="31">
        <v>57</v>
      </c>
      <c r="AM59" s="31">
        <v>62</v>
      </c>
      <c r="AN59" s="31">
        <v>63</v>
      </c>
      <c r="AO59" s="31">
        <v>63</v>
      </c>
      <c r="AP59" s="31">
        <v>55</v>
      </c>
      <c r="AQ59" s="31">
        <v>58</v>
      </c>
      <c r="AR59" s="115">
        <f t="shared" ca="1" si="19"/>
        <v>57</v>
      </c>
    </row>
    <row r="60" spans="1:44" x14ac:dyDescent="0.35">
      <c r="A60" t="s">
        <v>63</v>
      </c>
      <c r="B60" t="s">
        <v>6</v>
      </c>
      <c r="C60" s="36" t="str">
        <f t="shared" si="16"/>
        <v>COZ20</v>
      </c>
      <c r="D60" s="35">
        <v>60</v>
      </c>
      <c r="E60" s="31">
        <v>57</v>
      </c>
      <c r="F60" s="31">
        <v>58</v>
      </c>
      <c r="G60" s="31">
        <v>57</v>
      </c>
      <c r="H60" s="31">
        <v>59</v>
      </c>
      <c r="I60" s="31">
        <v>62</v>
      </c>
      <c r="J60" s="31">
        <v>60</v>
      </c>
      <c r="K60" s="31">
        <v>59</v>
      </c>
      <c r="L60" s="31">
        <v>56</v>
      </c>
      <c r="M60" s="31">
        <v>55</v>
      </c>
      <c r="N60" s="31">
        <v>63</v>
      </c>
      <c r="O60" s="31">
        <v>59</v>
      </c>
      <c r="P60" s="31">
        <v>59</v>
      </c>
      <c r="Q60" s="31">
        <v>61</v>
      </c>
      <c r="R60" s="31">
        <v>60</v>
      </c>
      <c r="S60" s="31">
        <v>56</v>
      </c>
      <c r="T60" s="31">
        <v>55</v>
      </c>
      <c r="U60" s="31">
        <v>60</v>
      </c>
      <c r="V60" s="31">
        <v>62</v>
      </c>
      <c r="W60" s="31">
        <v>60</v>
      </c>
      <c r="X60" s="31">
        <v>58</v>
      </c>
      <c r="Y60" s="31">
        <v>62</v>
      </c>
      <c r="Z60" s="31">
        <v>61</v>
      </c>
      <c r="AA60" s="31">
        <v>60</v>
      </c>
      <c r="AB60" s="31">
        <v>59</v>
      </c>
      <c r="AC60" s="31">
        <v>57</v>
      </c>
      <c r="AD60" s="31">
        <v>60</v>
      </c>
      <c r="AE60" s="31">
        <v>62</v>
      </c>
      <c r="AF60" s="31">
        <v>62</v>
      </c>
      <c r="AG60" s="31">
        <v>60</v>
      </c>
      <c r="AH60" s="31">
        <v>58</v>
      </c>
      <c r="AI60" s="31">
        <v>61</v>
      </c>
      <c r="AJ60" s="31">
        <v>58</v>
      </c>
      <c r="AK60" s="31">
        <v>63</v>
      </c>
      <c r="AL60" s="31">
        <v>58</v>
      </c>
      <c r="AM60" s="31">
        <v>56</v>
      </c>
      <c r="AN60" s="31">
        <v>60</v>
      </c>
      <c r="AO60" s="31">
        <v>60</v>
      </c>
      <c r="AP60" s="31">
        <v>63</v>
      </c>
      <c r="AQ60" s="31">
        <v>60</v>
      </c>
      <c r="AR60" s="115">
        <f t="shared" ca="1" si="19"/>
        <v>57</v>
      </c>
    </row>
    <row r="61" spans="1:44" x14ac:dyDescent="0.35">
      <c r="A61" t="s">
        <v>68</v>
      </c>
      <c r="B61" t="s">
        <v>54</v>
      </c>
      <c r="C61" s="36" t="str">
        <f t="shared" si="16"/>
        <v>CLG21</v>
      </c>
      <c r="D61" s="35">
        <v>54</v>
      </c>
      <c r="E61" s="31">
        <v>50</v>
      </c>
      <c r="F61" s="31">
        <v>50</v>
      </c>
      <c r="G61" s="31">
        <v>50</v>
      </c>
      <c r="H61" s="31">
        <v>55</v>
      </c>
      <c r="I61" s="31">
        <v>55</v>
      </c>
      <c r="J61" s="31">
        <v>49</v>
      </c>
      <c r="K61" s="31">
        <v>55</v>
      </c>
      <c r="L61" s="31">
        <v>49</v>
      </c>
      <c r="M61" s="31">
        <v>51</v>
      </c>
      <c r="N61" s="31">
        <v>55</v>
      </c>
      <c r="O61" s="31">
        <v>55</v>
      </c>
      <c r="P61" s="31">
        <v>54</v>
      </c>
      <c r="Q61" s="31">
        <v>50</v>
      </c>
      <c r="R61" s="31">
        <v>54</v>
      </c>
      <c r="S61" s="31">
        <v>49</v>
      </c>
      <c r="T61" s="31">
        <v>52</v>
      </c>
      <c r="U61" s="31">
        <v>50</v>
      </c>
      <c r="V61" s="31">
        <v>52</v>
      </c>
      <c r="W61" s="31">
        <v>51</v>
      </c>
      <c r="X61" s="31">
        <v>53</v>
      </c>
      <c r="Y61" s="31">
        <v>50</v>
      </c>
      <c r="Z61" s="31">
        <v>55</v>
      </c>
      <c r="AA61" s="31">
        <v>49</v>
      </c>
      <c r="AB61" s="31">
        <v>55</v>
      </c>
      <c r="AC61" s="31">
        <v>51</v>
      </c>
      <c r="AD61" s="31">
        <v>53</v>
      </c>
      <c r="AE61" s="31">
        <v>49</v>
      </c>
      <c r="AF61" s="31">
        <v>53</v>
      </c>
      <c r="AG61" s="31">
        <v>50</v>
      </c>
      <c r="AH61" s="31">
        <v>53</v>
      </c>
      <c r="AI61" s="31">
        <v>51</v>
      </c>
      <c r="AJ61" s="31">
        <v>49</v>
      </c>
      <c r="AK61" s="31">
        <v>51</v>
      </c>
      <c r="AL61" s="31">
        <v>53</v>
      </c>
      <c r="AM61" s="31">
        <v>50</v>
      </c>
      <c r="AN61" s="31">
        <v>52</v>
      </c>
      <c r="AO61" s="31">
        <v>53</v>
      </c>
      <c r="AP61" s="31">
        <v>51</v>
      </c>
      <c r="AQ61" s="31">
        <v>54</v>
      </c>
      <c r="AR61" s="115">
        <f t="shared" ref="AQ61:AR66" ca="1" si="20">RANDBETWEEN(49,55)</f>
        <v>55</v>
      </c>
    </row>
    <row r="62" spans="1:44" x14ac:dyDescent="0.35">
      <c r="A62" t="s">
        <v>68</v>
      </c>
      <c r="B62" t="s">
        <v>24</v>
      </c>
      <c r="C62" s="36" t="str">
        <f t="shared" si="16"/>
        <v>CLJ20</v>
      </c>
      <c r="D62" s="35">
        <v>52</v>
      </c>
      <c r="E62" s="31">
        <v>50</v>
      </c>
      <c r="F62" s="31">
        <v>55</v>
      </c>
      <c r="G62" s="31">
        <v>51</v>
      </c>
      <c r="H62" s="31">
        <v>55</v>
      </c>
      <c r="I62" s="31">
        <v>51</v>
      </c>
      <c r="J62" s="31">
        <v>53</v>
      </c>
      <c r="K62" s="31">
        <v>49</v>
      </c>
      <c r="L62" s="31">
        <v>54</v>
      </c>
      <c r="M62" s="31">
        <v>55</v>
      </c>
      <c r="N62" s="31">
        <v>54</v>
      </c>
      <c r="O62" s="31">
        <v>53</v>
      </c>
      <c r="P62" s="31">
        <v>51</v>
      </c>
      <c r="Q62" s="31">
        <v>52</v>
      </c>
      <c r="R62" s="31">
        <v>52</v>
      </c>
      <c r="S62" s="31">
        <v>51</v>
      </c>
      <c r="T62" s="31">
        <v>49</v>
      </c>
      <c r="U62" s="31">
        <v>52</v>
      </c>
      <c r="V62" s="31">
        <v>49</v>
      </c>
      <c r="W62" s="31">
        <v>53</v>
      </c>
      <c r="X62" s="31">
        <v>52</v>
      </c>
      <c r="Y62" s="31">
        <v>51</v>
      </c>
      <c r="Z62" s="31">
        <v>49</v>
      </c>
      <c r="AA62" s="31">
        <v>55</v>
      </c>
      <c r="AB62" s="31">
        <v>51</v>
      </c>
      <c r="AC62" s="31">
        <v>49</v>
      </c>
      <c r="AD62" s="31">
        <v>52</v>
      </c>
      <c r="AE62" s="31">
        <v>55</v>
      </c>
      <c r="AF62" s="31">
        <v>54</v>
      </c>
      <c r="AG62" s="31">
        <v>52</v>
      </c>
      <c r="AH62" s="31">
        <v>55</v>
      </c>
      <c r="AI62" s="31">
        <v>51</v>
      </c>
      <c r="AJ62" s="31">
        <v>52</v>
      </c>
      <c r="AK62" s="31">
        <v>52</v>
      </c>
      <c r="AL62" s="31">
        <v>55</v>
      </c>
      <c r="AM62" s="31">
        <v>51</v>
      </c>
      <c r="AN62" s="31">
        <v>52</v>
      </c>
      <c r="AO62" s="31">
        <v>49</v>
      </c>
      <c r="AP62" s="31">
        <v>52</v>
      </c>
      <c r="AQ62" s="31">
        <v>52</v>
      </c>
      <c r="AR62" s="115">
        <f t="shared" ca="1" si="20"/>
        <v>55</v>
      </c>
    </row>
    <row r="63" spans="1:44" x14ac:dyDescent="0.35">
      <c r="A63" t="s">
        <v>68</v>
      </c>
      <c r="B63" t="s">
        <v>29</v>
      </c>
      <c r="C63" s="36" t="str">
        <f t="shared" si="16"/>
        <v>CLM20</v>
      </c>
      <c r="D63" s="35">
        <v>50</v>
      </c>
      <c r="E63" s="31">
        <v>52</v>
      </c>
      <c r="F63" s="31">
        <v>53</v>
      </c>
      <c r="G63" s="31">
        <v>55</v>
      </c>
      <c r="H63" s="31">
        <v>49</v>
      </c>
      <c r="I63" s="31">
        <v>52</v>
      </c>
      <c r="J63" s="31">
        <v>50</v>
      </c>
      <c r="K63" s="31">
        <v>52</v>
      </c>
      <c r="L63" s="31">
        <v>52</v>
      </c>
      <c r="M63" s="31">
        <v>54</v>
      </c>
      <c r="N63" s="31">
        <v>53</v>
      </c>
      <c r="O63" s="31">
        <v>51</v>
      </c>
      <c r="P63" s="31">
        <v>54</v>
      </c>
      <c r="Q63" s="31">
        <v>52</v>
      </c>
      <c r="R63" s="31">
        <v>49</v>
      </c>
      <c r="S63" s="31">
        <v>50</v>
      </c>
      <c r="T63" s="31">
        <v>52</v>
      </c>
      <c r="U63" s="31">
        <v>49</v>
      </c>
      <c r="V63" s="31">
        <v>55</v>
      </c>
      <c r="W63" s="31">
        <v>53</v>
      </c>
      <c r="X63" s="31">
        <v>53</v>
      </c>
      <c r="Y63" s="31">
        <v>50</v>
      </c>
      <c r="Z63" s="31">
        <v>49</v>
      </c>
      <c r="AA63" s="31">
        <v>53</v>
      </c>
      <c r="AB63" s="31">
        <v>53</v>
      </c>
      <c r="AC63" s="31">
        <v>49</v>
      </c>
      <c r="AD63" s="31">
        <v>53</v>
      </c>
      <c r="AE63" s="31">
        <v>51</v>
      </c>
      <c r="AF63" s="31">
        <v>53</v>
      </c>
      <c r="AG63" s="31">
        <v>49</v>
      </c>
      <c r="AH63" s="31">
        <v>49</v>
      </c>
      <c r="AI63" s="31">
        <v>53</v>
      </c>
      <c r="AJ63" s="31">
        <v>55</v>
      </c>
      <c r="AK63" s="31">
        <v>55</v>
      </c>
      <c r="AL63" s="31">
        <v>55</v>
      </c>
      <c r="AM63" s="31">
        <v>55</v>
      </c>
      <c r="AN63" s="31">
        <v>51</v>
      </c>
      <c r="AO63" s="31">
        <v>53</v>
      </c>
      <c r="AP63" s="31">
        <v>50</v>
      </c>
      <c r="AQ63" s="31">
        <v>50</v>
      </c>
      <c r="AR63" s="115">
        <f t="shared" ca="1" si="20"/>
        <v>53</v>
      </c>
    </row>
    <row r="64" spans="1:44" x14ac:dyDescent="0.35">
      <c r="A64" t="s">
        <v>68</v>
      </c>
      <c r="B64" t="s">
        <v>35</v>
      </c>
      <c r="C64" s="36" t="str">
        <f t="shared" si="16"/>
        <v>CLQ20</v>
      </c>
      <c r="D64" s="35">
        <v>51</v>
      </c>
      <c r="E64" s="31">
        <v>49</v>
      </c>
      <c r="F64" s="31">
        <v>53</v>
      </c>
      <c r="G64" s="31">
        <v>51</v>
      </c>
      <c r="H64" s="31">
        <v>50</v>
      </c>
      <c r="I64" s="31">
        <v>52</v>
      </c>
      <c r="J64" s="31">
        <v>55</v>
      </c>
      <c r="K64" s="31">
        <v>54</v>
      </c>
      <c r="L64" s="31">
        <v>55</v>
      </c>
      <c r="M64" s="31">
        <v>54</v>
      </c>
      <c r="N64" s="31">
        <v>51</v>
      </c>
      <c r="O64" s="31">
        <v>55</v>
      </c>
      <c r="P64" s="31">
        <v>52</v>
      </c>
      <c r="Q64" s="31">
        <v>49</v>
      </c>
      <c r="R64" s="31">
        <v>51</v>
      </c>
      <c r="S64" s="31">
        <v>49</v>
      </c>
      <c r="T64" s="31">
        <v>51</v>
      </c>
      <c r="U64" s="31">
        <v>54</v>
      </c>
      <c r="V64" s="31">
        <v>53</v>
      </c>
      <c r="W64" s="31">
        <v>55</v>
      </c>
      <c r="X64" s="31">
        <v>53</v>
      </c>
      <c r="Y64" s="31">
        <v>55</v>
      </c>
      <c r="Z64" s="31">
        <v>54</v>
      </c>
      <c r="AA64" s="31">
        <v>55</v>
      </c>
      <c r="AB64" s="31">
        <v>53</v>
      </c>
      <c r="AC64" s="31">
        <v>54</v>
      </c>
      <c r="AD64" s="31">
        <v>53</v>
      </c>
      <c r="AE64" s="31">
        <v>49</v>
      </c>
      <c r="AF64" s="31">
        <v>54</v>
      </c>
      <c r="AG64" s="31">
        <v>53</v>
      </c>
      <c r="AH64" s="31">
        <v>55</v>
      </c>
      <c r="AI64" s="31">
        <v>54</v>
      </c>
      <c r="AJ64" s="31">
        <v>55</v>
      </c>
      <c r="AK64" s="31">
        <v>52</v>
      </c>
      <c r="AL64" s="31">
        <v>54</v>
      </c>
      <c r="AM64" s="31">
        <v>49</v>
      </c>
      <c r="AN64" s="31">
        <v>50</v>
      </c>
      <c r="AO64" s="31">
        <v>52</v>
      </c>
      <c r="AP64" s="31">
        <v>55</v>
      </c>
      <c r="AQ64" s="31">
        <v>51</v>
      </c>
      <c r="AR64" s="115">
        <f t="shared" ca="1" si="20"/>
        <v>54</v>
      </c>
    </row>
    <row r="65" spans="1:44" x14ac:dyDescent="0.35">
      <c r="A65" t="s">
        <v>68</v>
      </c>
      <c r="B65" t="s">
        <v>41</v>
      </c>
      <c r="C65" s="36" t="str">
        <f t="shared" si="16"/>
        <v>CLV20</v>
      </c>
      <c r="D65" s="35">
        <v>49</v>
      </c>
      <c r="E65" s="31">
        <v>50</v>
      </c>
      <c r="F65" s="31">
        <v>54</v>
      </c>
      <c r="G65" s="31">
        <v>50</v>
      </c>
      <c r="H65" s="31">
        <v>54</v>
      </c>
      <c r="I65" s="31">
        <v>52</v>
      </c>
      <c r="J65" s="31">
        <v>50</v>
      </c>
      <c r="K65" s="31">
        <v>54</v>
      </c>
      <c r="L65" s="31">
        <v>51</v>
      </c>
      <c r="M65" s="31">
        <v>54</v>
      </c>
      <c r="N65" s="31">
        <v>50</v>
      </c>
      <c r="O65" s="31">
        <v>54</v>
      </c>
      <c r="P65" s="31">
        <v>54</v>
      </c>
      <c r="Q65" s="31">
        <v>53</v>
      </c>
      <c r="R65" s="31">
        <v>49</v>
      </c>
      <c r="S65" s="31">
        <v>50</v>
      </c>
      <c r="T65" s="31">
        <v>50</v>
      </c>
      <c r="U65" s="31">
        <v>50</v>
      </c>
      <c r="V65" s="31">
        <v>53</v>
      </c>
      <c r="W65" s="31">
        <v>52</v>
      </c>
      <c r="X65" s="31">
        <v>51</v>
      </c>
      <c r="Y65" s="31">
        <v>54</v>
      </c>
      <c r="Z65" s="31">
        <v>53</v>
      </c>
      <c r="AA65" s="31">
        <v>55</v>
      </c>
      <c r="AB65" s="31">
        <v>49</v>
      </c>
      <c r="AC65" s="31">
        <v>55</v>
      </c>
      <c r="AD65" s="31">
        <v>50</v>
      </c>
      <c r="AE65" s="31">
        <v>55</v>
      </c>
      <c r="AF65" s="31">
        <v>53</v>
      </c>
      <c r="AG65" s="31">
        <v>50</v>
      </c>
      <c r="AH65" s="31">
        <v>49</v>
      </c>
      <c r="AI65" s="31">
        <v>52</v>
      </c>
      <c r="AJ65" s="31">
        <v>49</v>
      </c>
      <c r="AK65" s="31">
        <v>51</v>
      </c>
      <c r="AL65" s="31">
        <v>55</v>
      </c>
      <c r="AM65" s="31">
        <v>50</v>
      </c>
      <c r="AN65" s="31">
        <v>55</v>
      </c>
      <c r="AO65" s="31">
        <v>51</v>
      </c>
      <c r="AP65" s="31">
        <v>54</v>
      </c>
      <c r="AQ65" s="31">
        <v>49</v>
      </c>
      <c r="AR65" s="115">
        <f t="shared" ca="1" si="20"/>
        <v>49</v>
      </c>
    </row>
    <row r="66" spans="1:44" x14ac:dyDescent="0.35">
      <c r="A66" t="s">
        <v>68</v>
      </c>
      <c r="B66" t="s">
        <v>6</v>
      </c>
      <c r="C66" s="36" t="str">
        <f t="shared" si="16"/>
        <v>CLZ20</v>
      </c>
      <c r="D66" s="35">
        <v>55</v>
      </c>
      <c r="E66" s="31">
        <v>54</v>
      </c>
      <c r="F66" s="31">
        <v>49</v>
      </c>
      <c r="G66" s="31">
        <v>50</v>
      </c>
      <c r="H66" s="31">
        <v>51</v>
      </c>
      <c r="I66" s="31">
        <v>50</v>
      </c>
      <c r="J66" s="31">
        <v>52</v>
      </c>
      <c r="K66" s="31">
        <v>53</v>
      </c>
      <c r="L66" s="31">
        <v>52</v>
      </c>
      <c r="M66" s="31">
        <v>55</v>
      </c>
      <c r="N66" s="31">
        <v>53</v>
      </c>
      <c r="O66" s="31">
        <v>50</v>
      </c>
      <c r="P66" s="31">
        <v>55</v>
      </c>
      <c r="Q66" s="31">
        <v>50</v>
      </c>
      <c r="R66" s="31">
        <v>51</v>
      </c>
      <c r="S66" s="31">
        <v>53</v>
      </c>
      <c r="T66" s="31">
        <v>53</v>
      </c>
      <c r="U66" s="31">
        <v>55</v>
      </c>
      <c r="V66" s="31">
        <v>53</v>
      </c>
      <c r="W66" s="31">
        <v>55</v>
      </c>
      <c r="X66" s="31">
        <v>51</v>
      </c>
      <c r="Y66" s="31">
        <v>50</v>
      </c>
      <c r="Z66" s="31">
        <v>52</v>
      </c>
      <c r="AA66" s="31">
        <v>50</v>
      </c>
      <c r="AB66" s="31">
        <v>49</v>
      </c>
      <c r="AC66" s="31">
        <v>50</v>
      </c>
      <c r="AD66" s="31">
        <v>50</v>
      </c>
      <c r="AE66" s="31">
        <v>55</v>
      </c>
      <c r="AF66" s="31">
        <v>51</v>
      </c>
      <c r="AG66" s="31">
        <v>54</v>
      </c>
      <c r="AH66" s="31">
        <v>54</v>
      </c>
      <c r="AI66" s="31">
        <v>51</v>
      </c>
      <c r="AJ66" s="31">
        <v>55</v>
      </c>
      <c r="AK66" s="31">
        <v>49</v>
      </c>
      <c r="AL66" s="31">
        <v>49</v>
      </c>
      <c r="AM66" s="31">
        <v>49</v>
      </c>
      <c r="AN66" s="31">
        <v>53</v>
      </c>
      <c r="AO66" s="31">
        <v>54</v>
      </c>
      <c r="AP66" s="31">
        <v>55</v>
      </c>
      <c r="AQ66" s="31">
        <v>55</v>
      </c>
      <c r="AR66" s="115">
        <f t="shared" ca="1" si="20"/>
        <v>50</v>
      </c>
    </row>
    <row r="67" spans="1:44" x14ac:dyDescent="0.35">
      <c r="A67" t="s">
        <v>72</v>
      </c>
      <c r="B67" t="s">
        <v>54</v>
      </c>
      <c r="C67" s="36" t="str">
        <f t="shared" si="16"/>
        <v>GOG21</v>
      </c>
      <c r="D67" s="35">
        <v>538</v>
      </c>
      <c r="E67" s="31">
        <v>496</v>
      </c>
      <c r="F67" s="31">
        <v>530</v>
      </c>
      <c r="G67" s="31">
        <v>505</v>
      </c>
      <c r="H67" s="31">
        <v>487</v>
      </c>
      <c r="I67" s="31">
        <v>496</v>
      </c>
      <c r="J67" s="31">
        <v>499</v>
      </c>
      <c r="K67" s="31">
        <v>496</v>
      </c>
      <c r="L67" s="31">
        <v>496</v>
      </c>
      <c r="M67" s="31">
        <v>517</v>
      </c>
      <c r="N67" s="31">
        <v>474</v>
      </c>
      <c r="O67" s="31">
        <v>493</v>
      </c>
      <c r="P67" s="31">
        <v>512</v>
      </c>
      <c r="Q67" s="31">
        <v>480</v>
      </c>
      <c r="R67" s="31">
        <v>519</v>
      </c>
      <c r="S67" s="31">
        <v>524</v>
      </c>
      <c r="T67" s="31">
        <v>497</v>
      </c>
      <c r="U67" s="31">
        <v>504</v>
      </c>
      <c r="V67" s="31">
        <v>508</v>
      </c>
      <c r="W67" s="31">
        <v>502</v>
      </c>
      <c r="X67" s="31">
        <v>498</v>
      </c>
      <c r="Y67" s="31">
        <v>484</v>
      </c>
      <c r="Z67" s="31">
        <v>539</v>
      </c>
      <c r="AA67" s="31">
        <v>492</v>
      </c>
      <c r="AB67" s="31">
        <v>516</v>
      </c>
      <c r="AC67" s="31">
        <v>529</v>
      </c>
      <c r="AD67" s="31">
        <v>524</v>
      </c>
      <c r="AE67" s="31">
        <v>484</v>
      </c>
      <c r="AF67" s="31">
        <v>549</v>
      </c>
      <c r="AG67" s="31">
        <v>472</v>
      </c>
      <c r="AH67" s="31">
        <v>499</v>
      </c>
      <c r="AI67" s="31">
        <v>493</v>
      </c>
      <c r="AJ67" s="31">
        <v>501</v>
      </c>
      <c r="AK67" s="31">
        <v>530</v>
      </c>
      <c r="AL67" s="31">
        <v>473</v>
      </c>
      <c r="AM67" s="31">
        <v>515</v>
      </c>
      <c r="AN67" s="31">
        <v>514</v>
      </c>
      <c r="AO67" s="31">
        <v>524</v>
      </c>
      <c r="AP67" s="31">
        <v>486</v>
      </c>
      <c r="AQ67" s="31">
        <v>538</v>
      </c>
      <c r="AR67" s="115">
        <f t="shared" ref="AQ67:AR72" ca="1" si="21">RANDBETWEEN(470,550)</f>
        <v>500</v>
      </c>
    </row>
    <row r="68" spans="1:44" x14ac:dyDescent="0.35">
      <c r="A68" t="s">
        <v>72</v>
      </c>
      <c r="B68" t="s">
        <v>24</v>
      </c>
      <c r="C68" s="36" t="str">
        <f t="shared" si="16"/>
        <v>GOJ20</v>
      </c>
      <c r="D68" s="35">
        <v>504</v>
      </c>
      <c r="E68" s="31">
        <v>482</v>
      </c>
      <c r="F68" s="31">
        <v>477</v>
      </c>
      <c r="G68" s="31">
        <v>520</v>
      </c>
      <c r="H68" s="31">
        <v>475</v>
      </c>
      <c r="I68" s="31">
        <v>485</v>
      </c>
      <c r="J68" s="31">
        <v>518</v>
      </c>
      <c r="K68" s="31">
        <v>482</v>
      </c>
      <c r="L68" s="31">
        <v>512</v>
      </c>
      <c r="M68" s="31">
        <v>476</v>
      </c>
      <c r="N68" s="31">
        <v>499</v>
      </c>
      <c r="O68" s="31">
        <v>516</v>
      </c>
      <c r="P68" s="31">
        <v>477</v>
      </c>
      <c r="Q68" s="31">
        <v>476</v>
      </c>
      <c r="R68" s="31">
        <v>525</v>
      </c>
      <c r="S68" s="31">
        <v>515</v>
      </c>
      <c r="T68" s="31">
        <v>491</v>
      </c>
      <c r="U68" s="31">
        <v>486</v>
      </c>
      <c r="V68" s="31">
        <v>539</v>
      </c>
      <c r="W68" s="31">
        <v>473</v>
      </c>
      <c r="X68" s="31">
        <v>471</v>
      </c>
      <c r="Y68" s="31">
        <v>526</v>
      </c>
      <c r="Z68" s="31">
        <v>545</v>
      </c>
      <c r="AA68" s="31">
        <v>490</v>
      </c>
      <c r="AB68" s="31">
        <v>486</v>
      </c>
      <c r="AC68" s="31">
        <v>503</v>
      </c>
      <c r="AD68" s="31">
        <v>486</v>
      </c>
      <c r="AE68" s="31">
        <v>514</v>
      </c>
      <c r="AF68" s="31">
        <v>478</v>
      </c>
      <c r="AG68" s="31">
        <v>533</v>
      </c>
      <c r="AH68" s="31">
        <v>512</v>
      </c>
      <c r="AI68" s="31">
        <v>493</v>
      </c>
      <c r="AJ68" s="31">
        <v>544</v>
      </c>
      <c r="AK68" s="31">
        <v>482</v>
      </c>
      <c r="AL68" s="31">
        <v>491</v>
      </c>
      <c r="AM68" s="31">
        <v>534</v>
      </c>
      <c r="AN68" s="31">
        <v>511</v>
      </c>
      <c r="AO68" s="31">
        <v>506</v>
      </c>
      <c r="AP68" s="31">
        <v>535</v>
      </c>
      <c r="AQ68" s="31">
        <v>504</v>
      </c>
      <c r="AR68" s="115">
        <f t="shared" ca="1" si="21"/>
        <v>520</v>
      </c>
    </row>
    <row r="69" spans="1:44" x14ac:dyDescent="0.35">
      <c r="A69" t="s">
        <v>72</v>
      </c>
      <c r="B69" t="s">
        <v>29</v>
      </c>
      <c r="C69" s="36" t="str">
        <f t="shared" si="16"/>
        <v>GOM20</v>
      </c>
      <c r="D69" s="35">
        <v>474</v>
      </c>
      <c r="E69" s="31">
        <v>539</v>
      </c>
      <c r="F69" s="31">
        <v>481</v>
      </c>
      <c r="G69" s="31">
        <v>488</v>
      </c>
      <c r="H69" s="31">
        <v>493</v>
      </c>
      <c r="I69" s="31">
        <v>499</v>
      </c>
      <c r="J69" s="31">
        <v>497</v>
      </c>
      <c r="K69" s="31">
        <v>489</v>
      </c>
      <c r="L69" s="31">
        <v>530</v>
      </c>
      <c r="M69" s="31">
        <v>531</v>
      </c>
      <c r="N69" s="31">
        <v>482</v>
      </c>
      <c r="O69" s="31">
        <v>495</v>
      </c>
      <c r="P69" s="31">
        <v>550</v>
      </c>
      <c r="Q69" s="31">
        <v>522</v>
      </c>
      <c r="R69" s="31">
        <v>472</v>
      </c>
      <c r="S69" s="31">
        <v>502</v>
      </c>
      <c r="T69" s="31">
        <v>530</v>
      </c>
      <c r="U69" s="31">
        <v>521</v>
      </c>
      <c r="V69" s="31">
        <v>479</v>
      </c>
      <c r="W69" s="31">
        <v>500</v>
      </c>
      <c r="X69" s="31">
        <v>511</v>
      </c>
      <c r="Y69" s="31">
        <v>535</v>
      </c>
      <c r="Z69" s="31">
        <v>533</v>
      </c>
      <c r="AA69" s="31">
        <v>483</v>
      </c>
      <c r="AB69" s="31">
        <v>528</v>
      </c>
      <c r="AC69" s="31">
        <v>477</v>
      </c>
      <c r="AD69" s="31">
        <v>540</v>
      </c>
      <c r="AE69" s="31">
        <v>533</v>
      </c>
      <c r="AF69" s="31">
        <v>541</v>
      </c>
      <c r="AG69" s="31">
        <v>548</v>
      </c>
      <c r="AH69" s="31">
        <v>540</v>
      </c>
      <c r="AI69" s="31">
        <v>470</v>
      </c>
      <c r="AJ69" s="31">
        <v>549</v>
      </c>
      <c r="AK69" s="31">
        <v>519</v>
      </c>
      <c r="AL69" s="31">
        <v>473</v>
      </c>
      <c r="AM69" s="31">
        <v>516</v>
      </c>
      <c r="AN69" s="31">
        <v>485</v>
      </c>
      <c r="AO69" s="31">
        <v>518</v>
      </c>
      <c r="AP69" s="31">
        <v>484</v>
      </c>
      <c r="AQ69" s="31">
        <v>474</v>
      </c>
      <c r="AR69" s="115">
        <f t="shared" ca="1" si="21"/>
        <v>537</v>
      </c>
    </row>
    <row r="70" spans="1:44" x14ac:dyDescent="0.35">
      <c r="A70" t="s">
        <v>72</v>
      </c>
      <c r="B70" t="s">
        <v>35</v>
      </c>
      <c r="C70" s="36" t="str">
        <f t="shared" si="16"/>
        <v>GOQ20</v>
      </c>
      <c r="D70" s="35">
        <v>497</v>
      </c>
      <c r="E70" s="31">
        <v>490</v>
      </c>
      <c r="F70" s="31">
        <v>528</v>
      </c>
      <c r="G70" s="31">
        <v>525</v>
      </c>
      <c r="H70" s="31">
        <v>494</v>
      </c>
      <c r="I70" s="31">
        <v>486</v>
      </c>
      <c r="J70" s="31">
        <v>526</v>
      </c>
      <c r="K70" s="31">
        <v>485</v>
      </c>
      <c r="L70" s="31">
        <v>550</v>
      </c>
      <c r="M70" s="31">
        <v>528</v>
      </c>
      <c r="N70" s="31">
        <v>491</v>
      </c>
      <c r="O70" s="31">
        <v>493</v>
      </c>
      <c r="P70" s="31">
        <v>530</v>
      </c>
      <c r="Q70" s="31">
        <v>509</v>
      </c>
      <c r="R70" s="31">
        <v>483</v>
      </c>
      <c r="S70" s="31">
        <v>472</v>
      </c>
      <c r="T70" s="31">
        <v>519</v>
      </c>
      <c r="U70" s="31">
        <v>527</v>
      </c>
      <c r="V70" s="31">
        <v>519</v>
      </c>
      <c r="W70" s="31">
        <v>506</v>
      </c>
      <c r="X70" s="31">
        <v>527</v>
      </c>
      <c r="Y70" s="31">
        <v>490</v>
      </c>
      <c r="Z70" s="31">
        <v>536</v>
      </c>
      <c r="AA70" s="31">
        <v>521</v>
      </c>
      <c r="AB70" s="31">
        <v>533</v>
      </c>
      <c r="AC70" s="31">
        <v>543</v>
      </c>
      <c r="AD70" s="31">
        <v>532</v>
      </c>
      <c r="AE70" s="31">
        <v>506</v>
      </c>
      <c r="AF70" s="31">
        <v>507</v>
      </c>
      <c r="AG70" s="31">
        <v>512</v>
      </c>
      <c r="AH70" s="31">
        <v>483</v>
      </c>
      <c r="AI70" s="31">
        <v>531</v>
      </c>
      <c r="AJ70" s="31">
        <v>541</v>
      </c>
      <c r="AK70" s="31">
        <v>533</v>
      </c>
      <c r="AL70" s="31">
        <v>470</v>
      </c>
      <c r="AM70" s="31">
        <v>485</v>
      </c>
      <c r="AN70" s="31">
        <v>524</v>
      </c>
      <c r="AO70" s="31">
        <v>489</v>
      </c>
      <c r="AP70" s="31">
        <v>516</v>
      </c>
      <c r="AQ70" s="31">
        <v>497</v>
      </c>
      <c r="AR70" s="115">
        <f t="shared" ca="1" si="21"/>
        <v>515</v>
      </c>
    </row>
    <row r="71" spans="1:44" x14ac:dyDescent="0.35">
      <c r="A71" t="s">
        <v>72</v>
      </c>
      <c r="B71" t="s">
        <v>41</v>
      </c>
      <c r="C71" s="36" t="str">
        <f t="shared" si="16"/>
        <v>GOV20</v>
      </c>
      <c r="D71" s="35">
        <v>548</v>
      </c>
      <c r="E71" s="31">
        <v>486</v>
      </c>
      <c r="F71" s="31">
        <v>531</v>
      </c>
      <c r="G71" s="31">
        <v>487</v>
      </c>
      <c r="H71" s="31">
        <v>514</v>
      </c>
      <c r="I71" s="31">
        <v>509</v>
      </c>
      <c r="J71" s="31">
        <v>487</v>
      </c>
      <c r="K71" s="31">
        <v>512</v>
      </c>
      <c r="L71" s="31">
        <v>491</v>
      </c>
      <c r="M71" s="31">
        <v>539</v>
      </c>
      <c r="N71" s="31">
        <v>493</v>
      </c>
      <c r="O71" s="31">
        <v>533</v>
      </c>
      <c r="P71" s="31">
        <v>501</v>
      </c>
      <c r="Q71" s="31">
        <v>544</v>
      </c>
      <c r="R71" s="31">
        <v>497</v>
      </c>
      <c r="S71" s="31">
        <v>524</v>
      </c>
      <c r="T71" s="31">
        <v>541</v>
      </c>
      <c r="U71" s="31">
        <v>504</v>
      </c>
      <c r="V71" s="31">
        <v>491</v>
      </c>
      <c r="W71" s="31">
        <v>528</v>
      </c>
      <c r="X71" s="31">
        <v>508</v>
      </c>
      <c r="Y71" s="31">
        <v>483</v>
      </c>
      <c r="Z71" s="31">
        <v>543</v>
      </c>
      <c r="AA71" s="31">
        <v>512</v>
      </c>
      <c r="AB71" s="31">
        <v>512</v>
      </c>
      <c r="AC71" s="31">
        <v>473</v>
      </c>
      <c r="AD71" s="31">
        <v>515</v>
      </c>
      <c r="AE71" s="31">
        <v>486</v>
      </c>
      <c r="AF71" s="31">
        <v>495</v>
      </c>
      <c r="AG71" s="31">
        <v>549</v>
      </c>
      <c r="AH71" s="31">
        <v>537</v>
      </c>
      <c r="AI71" s="31">
        <v>492</v>
      </c>
      <c r="AJ71" s="31">
        <v>537</v>
      </c>
      <c r="AK71" s="31">
        <v>547</v>
      </c>
      <c r="AL71" s="31">
        <v>520</v>
      </c>
      <c r="AM71" s="31">
        <v>474</v>
      </c>
      <c r="AN71" s="31">
        <v>515</v>
      </c>
      <c r="AO71" s="31">
        <v>546</v>
      </c>
      <c r="AP71" s="31">
        <v>508</v>
      </c>
      <c r="AQ71" s="31">
        <v>548</v>
      </c>
      <c r="AR71" s="115">
        <f t="shared" ca="1" si="21"/>
        <v>471</v>
      </c>
    </row>
    <row r="72" spans="1:44" x14ac:dyDescent="0.35">
      <c r="A72" t="s">
        <v>72</v>
      </c>
      <c r="B72" t="s">
        <v>6</v>
      </c>
      <c r="C72" s="36" t="str">
        <f t="shared" si="16"/>
        <v>GOZ20</v>
      </c>
      <c r="D72" s="35">
        <v>519</v>
      </c>
      <c r="E72" s="31">
        <v>539</v>
      </c>
      <c r="F72" s="31">
        <v>504</v>
      </c>
      <c r="G72" s="31">
        <v>470</v>
      </c>
      <c r="H72" s="31">
        <v>512</v>
      </c>
      <c r="I72" s="31">
        <v>514</v>
      </c>
      <c r="J72" s="31">
        <v>519</v>
      </c>
      <c r="K72" s="31">
        <v>514</v>
      </c>
      <c r="L72" s="31">
        <v>494</v>
      </c>
      <c r="M72" s="31">
        <v>499</v>
      </c>
      <c r="N72" s="31">
        <v>510</v>
      </c>
      <c r="O72" s="31">
        <v>501</v>
      </c>
      <c r="P72" s="31">
        <v>480</v>
      </c>
      <c r="Q72" s="31">
        <v>502</v>
      </c>
      <c r="R72" s="31">
        <v>515</v>
      </c>
      <c r="S72" s="31">
        <v>496</v>
      </c>
      <c r="T72" s="31">
        <v>532</v>
      </c>
      <c r="U72" s="31">
        <v>531</v>
      </c>
      <c r="V72" s="31">
        <v>547</v>
      </c>
      <c r="W72" s="31">
        <v>531</v>
      </c>
      <c r="X72" s="31">
        <v>518</v>
      </c>
      <c r="Y72" s="31">
        <v>485</v>
      </c>
      <c r="Z72" s="31">
        <v>506</v>
      </c>
      <c r="AA72" s="31">
        <v>544</v>
      </c>
      <c r="AB72" s="31">
        <v>501</v>
      </c>
      <c r="AC72" s="31">
        <v>503</v>
      </c>
      <c r="AD72" s="31">
        <v>521</v>
      </c>
      <c r="AE72" s="31">
        <v>542</v>
      </c>
      <c r="AF72" s="31">
        <v>497</v>
      </c>
      <c r="AG72" s="31">
        <v>513</v>
      </c>
      <c r="AH72" s="31">
        <v>512</v>
      </c>
      <c r="AI72" s="31">
        <v>470</v>
      </c>
      <c r="AJ72" s="31">
        <v>488</v>
      </c>
      <c r="AK72" s="31">
        <v>537</v>
      </c>
      <c r="AL72" s="31">
        <v>487</v>
      </c>
      <c r="AM72" s="31">
        <v>511</v>
      </c>
      <c r="AN72" s="31">
        <v>533</v>
      </c>
      <c r="AO72" s="31">
        <v>513</v>
      </c>
      <c r="AP72" s="31">
        <v>475</v>
      </c>
      <c r="AQ72" s="31">
        <v>519</v>
      </c>
      <c r="AR72" s="115">
        <f t="shared" ca="1" si="21"/>
        <v>544</v>
      </c>
    </row>
    <row r="73" spans="1:44" x14ac:dyDescent="0.35">
      <c r="A73" t="s">
        <v>75</v>
      </c>
      <c r="B73" t="s">
        <v>54</v>
      </c>
      <c r="C73" s="36" t="str">
        <f t="shared" si="16"/>
        <v>HOG21</v>
      </c>
      <c r="D73" s="35">
        <v>1.2341</v>
      </c>
      <c r="E73" s="32">
        <v>1.2524999999999999</v>
      </c>
      <c r="F73" s="32">
        <v>1.2864</v>
      </c>
      <c r="G73" s="32">
        <v>1.2848999999999999</v>
      </c>
      <c r="H73" s="32">
        <v>1.2808999999999999</v>
      </c>
      <c r="I73" s="32">
        <v>1.2231000000000001</v>
      </c>
      <c r="J73" s="32">
        <v>1.2605999999999999</v>
      </c>
      <c r="K73" s="32">
        <v>1.2682</v>
      </c>
      <c r="L73" s="32">
        <v>1.2723</v>
      </c>
      <c r="M73" s="32">
        <v>1.2083999999999999</v>
      </c>
      <c r="N73" s="32">
        <v>1.2146999999999999</v>
      </c>
      <c r="O73" s="32">
        <v>1.2197</v>
      </c>
      <c r="P73" s="32">
        <v>1.2298</v>
      </c>
      <c r="Q73" s="32">
        <v>1.2616000000000001</v>
      </c>
      <c r="R73" s="32">
        <v>1.2641</v>
      </c>
      <c r="S73" s="32">
        <v>1.2768999999999999</v>
      </c>
      <c r="T73" s="32">
        <v>1.2421</v>
      </c>
      <c r="U73" s="32">
        <v>1.2972999999999999</v>
      </c>
      <c r="V73" s="32">
        <v>1.2030000000000001</v>
      </c>
      <c r="W73" s="32">
        <v>1.2756000000000001</v>
      </c>
      <c r="X73" s="32">
        <v>1.2162999999999999</v>
      </c>
      <c r="Y73" s="32">
        <v>1.2431000000000001</v>
      </c>
      <c r="Z73" s="32">
        <v>1.2517</v>
      </c>
      <c r="AA73" s="32">
        <v>1.2134</v>
      </c>
      <c r="AB73" s="32">
        <v>1.2911999999999999</v>
      </c>
      <c r="AC73" s="32">
        <v>1.2008000000000001</v>
      </c>
      <c r="AD73" s="32">
        <v>1.2358</v>
      </c>
      <c r="AE73" s="32">
        <v>1.2558</v>
      </c>
      <c r="AF73" s="32">
        <v>1.2279</v>
      </c>
      <c r="AG73" s="32">
        <v>1.2168000000000001</v>
      </c>
      <c r="AH73" s="32">
        <v>1.2834000000000001</v>
      </c>
      <c r="AI73" s="32">
        <v>1.2226999999999999</v>
      </c>
      <c r="AJ73" s="32">
        <v>1.2015</v>
      </c>
      <c r="AK73" s="32">
        <v>1.2057</v>
      </c>
      <c r="AL73" s="32">
        <v>1.2908999999999999</v>
      </c>
      <c r="AM73" s="32">
        <v>1.2646999999999999</v>
      </c>
      <c r="AN73" s="32">
        <v>1.2341</v>
      </c>
      <c r="AO73" s="32">
        <v>1.2561</v>
      </c>
      <c r="AP73" s="32">
        <v>1.2310000000000001</v>
      </c>
      <c r="AQ73" s="32">
        <v>1.2341</v>
      </c>
      <c r="AR73" s="116">
        <f t="shared" ref="AQ73:AR78" ca="1" si="22">RANDBETWEEN(12000,13000)/10000</f>
        <v>1.2212000000000001</v>
      </c>
    </row>
    <row r="74" spans="1:44" x14ac:dyDescent="0.35">
      <c r="A74" t="s">
        <v>75</v>
      </c>
      <c r="B74" t="s">
        <v>24</v>
      </c>
      <c r="C74" s="36" t="str">
        <f t="shared" si="16"/>
        <v>HOJ20</v>
      </c>
      <c r="D74" s="35">
        <v>1.2918000000000001</v>
      </c>
      <c r="E74" s="32">
        <v>1.2531000000000001</v>
      </c>
      <c r="F74" s="32">
        <v>1.2630999999999999</v>
      </c>
      <c r="G74" s="32">
        <v>1.2898000000000001</v>
      </c>
      <c r="H74" s="32">
        <v>1.2809999999999999</v>
      </c>
      <c r="I74" s="32">
        <v>1.2822</v>
      </c>
      <c r="J74" s="32">
        <v>1.2001999999999999</v>
      </c>
      <c r="K74" s="32">
        <v>1.2161</v>
      </c>
      <c r="L74" s="32">
        <v>1.2566999999999999</v>
      </c>
      <c r="M74" s="32">
        <v>1.2296</v>
      </c>
      <c r="N74" s="32">
        <v>1.2439</v>
      </c>
      <c r="O74" s="32">
        <v>1.2907</v>
      </c>
      <c r="P74" s="32">
        <v>1.2311000000000001</v>
      </c>
      <c r="Q74" s="32">
        <v>1.2718</v>
      </c>
      <c r="R74" s="32">
        <v>1.2895000000000001</v>
      </c>
      <c r="S74" s="32">
        <v>1.2869999999999999</v>
      </c>
      <c r="T74" s="32">
        <v>1.2231000000000001</v>
      </c>
      <c r="U74" s="32">
        <v>1.2336</v>
      </c>
      <c r="V74" s="32">
        <v>1.2561</v>
      </c>
      <c r="W74" s="32">
        <v>1.2766999999999999</v>
      </c>
      <c r="X74" s="32">
        <v>1.2197</v>
      </c>
      <c r="Y74" s="32">
        <v>1.2367999999999999</v>
      </c>
      <c r="Z74" s="32">
        <v>1.2081999999999999</v>
      </c>
      <c r="AA74" s="32">
        <v>1.2738</v>
      </c>
      <c r="AB74" s="32">
        <v>1.2152000000000001</v>
      </c>
      <c r="AC74" s="32">
        <v>1.2347999999999999</v>
      </c>
      <c r="AD74" s="32">
        <v>1.2936000000000001</v>
      </c>
      <c r="AE74" s="32">
        <v>1.2909999999999999</v>
      </c>
      <c r="AF74" s="32">
        <v>1.276</v>
      </c>
      <c r="AG74" s="32">
        <v>1.2390000000000001</v>
      </c>
      <c r="AH74" s="32">
        <v>1.2131000000000001</v>
      </c>
      <c r="AI74" s="32">
        <v>1.2137</v>
      </c>
      <c r="AJ74" s="32">
        <v>1.2591000000000001</v>
      </c>
      <c r="AK74" s="32">
        <v>1.2307999999999999</v>
      </c>
      <c r="AL74" s="32">
        <v>1.2744</v>
      </c>
      <c r="AM74" s="32">
        <v>1.2161999999999999</v>
      </c>
      <c r="AN74" s="32">
        <v>1.2687999999999999</v>
      </c>
      <c r="AO74" s="32">
        <v>1.2488999999999999</v>
      </c>
      <c r="AP74" s="32">
        <v>1.2172000000000001</v>
      </c>
      <c r="AQ74" s="32">
        <v>1.2918000000000001</v>
      </c>
      <c r="AR74" s="116">
        <f t="shared" ca="1" si="22"/>
        <v>1.2614000000000001</v>
      </c>
    </row>
    <row r="75" spans="1:44" x14ac:dyDescent="0.35">
      <c r="A75" t="s">
        <v>75</v>
      </c>
      <c r="B75" t="s">
        <v>29</v>
      </c>
      <c r="C75" s="36" t="str">
        <f t="shared" si="16"/>
        <v>HOM20</v>
      </c>
      <c r="D75" s="35">
        <v>1.2836000000000001</v>
      </c>
      <c r="E75" s="32">
        <v>1.2028000000000001</v>
      </c>
      <c r="F75" s="32">
        <v>1.2118</v>
      </c>
      <c r="G75" s="32">
        <v>1.2827999999999999</v>
      </c>
      <c r="H75" s="32">
        <v>1.2055</v>
      </c>
      <c r="I75" s="32">
        <v>1.2390000000000001</v>
      </c>
      <c r="J75" s="32">
        <v>1.2655000000000001</v>
      </c>
      <c r="K75" s="32">
        <v>1.2874000000000001</v>
      </c>
      <c r="L75" s="32">
        <v>1.2723</v>
      </c>
      <c r="M75" s="32">
        <v>1.2169000000000001</v>
      </c>
      <c r="N75" s="32">
        <v>1.232</v>
      </c>
      <c r="O75" s="32">
        <v>1.2502</v>
      </c>
      <c r="P75" s="32">
        <v>1.2775000000000001</v>
      </c>
      <c r="Q75" s="32">
        <v>1.2768999999999999</v>
      </c>
      <c r="R75" s="32">
        <v>1.2976000000000001</v>
      </c>
      <c r="S75" s="32">
        <v>1.2514000000000001</v>
      </c>
      <c r="T75" s="32">
        <v>1.2138</v>
      </c>
      <c r="U75" s="32">
        <v>1.2189000000000001</v>
      </c>
      <c r="V75" s="32">
        <v>1.2808999999999999</v>
      </c>
      <c r="W75" s="32">
        <v>1.2586999999999999</v>
      </c>
      <c r="X75" s="32">
        <v>1.2573000000000001</v>
      </c>
      <c r="Y75" s="32">
        <v>1.2386999999999999</v>
      </c>
      <c r="Z75" s="32">
        <v>1.2545999999999999</v>
      </c>
      <c r="AA75" s="32">
        <v>1.2745</v>
      </c>
      <c r="AB75" s="32">
        <v>1.2655000000000001</v>
      </c>
      <c r="AC75" s="32">
        <v>1.2032</v>
      </c>
      <c r="AD75" s="32">
        <v>1.2181999999999999</v>
      </c>
      <c r="AE75" s="32">
        <v>1.2601</v>
      </c>
      <c r="AF75" s="32">
        <v>1.2601</v>
      </c>
      <c r="AG75" s="32">
        <v>1.2063999999999999</v>
      </c>
      <c r="AH75" s="32">
        <v>1.2050000000000001</v>
      </c>
      <c r="AI75" s="32">
        <v>1.2601</v>
      </c>
      <c r="AJ75" s="32">
        <v>1.2332000000000001</v>
      </c>
      <c r="AK75" s="32">
        <v>1.2789999999999999</v>
      </c>
      <c r="AL75" s="32">
        <v>1.2793000000000001</v>
      </c>
      <c r="AM75" s="32">
        <v>1.2318</v>
      </c>
      <c r="AN75" s="32">
        <v>1.2239</v>
      </c>
      <c r="AO75" s="32">
        <v>1.2896000000000001</v>
      </c>
      <c r="AP75" s="32">
        <v>1.2125999999999999</v>
      </c>
      <c r="AQ75" s="32">
        <v>1.2836000000000001</v>
      </c>
      <c r="AR75" s="116">
        <f t="shared" ca="1" si="22"/>
        <v>1.2384999999999999</v>
      </c>
    </row>
    <row r="76" spans="1:44" x14ac:dyDescent="0.35">
      <c r="A76" t="s">
        <v>75</v>
      </c>
      <c r="B76" t="s">
        <v>35</v>
      </c>
      <c r="C76" s="36" t="str">
        <f t="shared" si="16"/>
        <v>HOQ20</v>
      </c>
      <c r="D76" s="35">
        <v>1.2514000000000001</v>
      </c>
      <c r="E76" s="32">
        <v>1.2114</v>
      </c>
      <c r="F76" s="32">
        <v>1.2252000000000001</v>
      </c>
      <c r="G76" s="32">
        <v>1.2988</v>
      </c>
      <c r="H76" s="32">
        <v>1.2151000000000001</v>
      </c>
      <c r="I76" s="32">
        <v>1.2481</v>
      </c>
      <c r="J76" s="32">
        <v>1.2055</v>
      </c>
      <c r="K76" s="32">
        <v>1.2742</v>
      </c>
      <c r="L76" s="32">
        <v>1.2263999999999999</v>
      </c>
      <c r="M76" s="32">
        <v>1.2444999999999999</v>
      </c>
      <c r="N76" s="32">
        <v>1.2658</v>
      </c>
      <c r="O76" s="32">
        <v>1.2895000000000001</v>
      </c>
      <c r="P76" s="32">
        <v>1.2462</v>
      </c>
      <c r="Q76" s="32">
        <v>1.2593000000000001</v>
      </c>
      <c r="R76" s="32">
        <v>1.2051000000000001</v>
      </c>
      <c r="S76" s="32">
        <v>1.2511000000000001</v>
      </c>
      <c r="T76" s="32">
        <v>1.2713000000000001</v>
      </c>
      <c r="U76" s="32">
        <v>1.2525999999999999</v>
      </c>
      <c r="V76" s="32">
        <v>1.2181999999999999</v>
      </c>
      <c r="W76" s="32">
        <v>1.2179</v>
      </c>
      <c r="X76" s="32">
        <v>1.2272000000000001</v>
      </c>
      <c r="Y76" s="32">
        <v>1.288</v>
      </c>
      <c r="Z76" s="32">
        <v>1.2749999999999999</v>
      </c>
      <c r="AA76" s="32">
        <v>1.2109000000000001</v>
      </c>
      <c r="AB76" s="32">
        <v>1.2034</v>
      </c>
      <c r="AC76" s="32">
        <v>1.29</v>
      </c>
      <c r="AD76" s="32">
        <v>1.2326999999999999</v>
      </c>
      <c r="AE76" s="32">
        <v>1.2675000000000001</v>
      </c>
      <c r="AF76" s="32">
        <v>1.2513000000000001</v>
      </c>
      <c r="AG76" s="32">
        <v>1.2099</v>
      </c>
      <c r="AH76" s="32">
        <v>1.2090000000000001</v>
      </c>
      <c r="AI76" s="32">
        <v>1.2039</v>
      </c>
      <c r="AJ76" s="32">
        <v>1.2979000000000001</v>
      </c>
      <c r="AK76" s="32">
        <v>1.2137</v>
      </c>
      <c r="AL76" s="32">
        <v>1.2128000000000001</v>
      </c>
      <c r="AM76" s="32">
        <v>1.2764</v>
      </c>
      <c r="AN76" s="32">
        <v>1.2362</v>
      </c>
      <c r="AO76" s="32">
        <v>1.2099</v>
      </c>
      <c r="AP76" s="32">
        <v>1.2618</v>
      </c>
      <c r="AQ76" s="32">
        <v>1.2514000000000001</v>
      </c>
      <c r="AR76" s="116">
        <f t="shared" ca="1" si="22"/>
        <v>1.2769999999999999</v>
      </c>
    </row>
    <row r="77" spans="1:44" x14ac:dyDescent="0.35">
      <c r="A77" t="s">
        <v>75</v>
      </c>
      <c r="B77" t="s">
        <v>41</v>
      </c>
      <c r="C77" s="36" t="str">
        <f t="shared" si="16"/>
        <v>HOV20</v>
      </c>
      <c r="D77" s="35">
        <v>1.2964</v>
      </c>
      <c r="E77" s="32">
        <v>1.2298</v>
      </c>
      <c r="F77" s="32">
        <v>1.2007000000000001</v>
      </c>
      <c r="G77" s="32">
        <v>1.2472000000000001</v>
      </c>
      <c r="H77" s="32">
        <v>1.262</v>
      </c>
      <c r="I77" s="32">
        <v>1.2105999999999999</v>
      </c>
      <c r="J77" s="32">
        <v>1.2374000000000001</v>
      </c>
      <c r="K77" s="32">
        <v>1.2356</v>
      </c>
      <c r="L77" s="32">
        <v>1.2431000000000001</v>
      </c>
      <c r="M77" s="32">
        <v>1.2625</v>
      </c>
      <c r="N77" s="32">
        <v>1.2423</v>
      </c>
      <c r="O77" s="32">
        <v>1.288</v>
      </c>
      <c r="P77" s="32">
        <v>1.2165999999999999</v>
      </c>
      <c r="Q77" s="32">
        <v>1.2228000000000001</v>
      </c>
      <c r="R77" s="32">
        <v>1.2076</v>
      </c>
      <c r="S77" s="32">
        <v>1.2383999999999999</v>
      </c>
      <c r="T77" s="32">
        <v>1.234</v>
      </c>
      <c r="U77" s="32">
        <v>1.2719</v>
      </c>
      <c r="V77" s="32">
        <v>1.2523</v>
      </c>
      <c r="W77" s="32">
        <v>1.2735000000000001</v>
      </c>
      <c r="X77" s="32">
        <v>1.2371000000000001</v>
      </c>
      <c r="Y77" s="32">
        <v>1.2568999999999999</v>
      </c>
      <c r="Z77" s="32">
        <v>1.2839</v>
      </c>
      <c r="AA77" s="32">
        <v>1.2856000000000001</v>
      </c>
      <c r="AB77" s="32">
        <v>1.2829999999999999</v>
      </c>
      <c r="AC77" s="32">
        <v>1.2163999999999999</v>
      </c>
      <c r="AD77" s="32">
        <v>1.2622</v>
      </c>
      <c r="AE77" s="32">
        <v>1.2545999999999999</v>
      </c>
      <c r="AF77" s="32">
        <v>1.2816000000000001</v>
      </c>
      <c r="AG77" s="32">
        <v>1.2012</v>
      </c>
      <c r="AH77" s="32">
        <v>1.2888999999999999</v>
      </c>
      <c r="AI77" s="32">
        <v>1.2668999999999999</v>
      </c>
      <c r="AJ77" s="32">
        <v>1.2129000000000001</v>
      </c>
      <c r="AK77" s="32">
        <v>1.2544999999999999</v>
      </c>
      <c r="AL77" s="32">
        <v>1.2889999999999999</v>
      </c>
      <c r="AM77" s="32">
        <v>1.2756000000000001</v>
      </c>
      <c r="AN77" s="32">
        <v>1.2493000000000001</v>
      </c>
      <c r="AO77" s="32">
        <v>1.2818000000000001</v>
      </c>
      <c r="AP77" s="32">
        <v>1.2198</v>
      </c>
      <c r="AQ77" s="32">
        <v>1.2964</v>
      </c>
      <c r="AR77" s="116">
        <f t="shared" ca="1" si="22"/>
        <v>1.2158</v>
      </c>
    </row>
    <row r="78" spans="1:44" x14ac:dyDescent="0.35">
      <c r="A78" t="s">
        <v>75</v>
      </c>
      <c r="B78" t="s">
        <v>6</v>
      </c>
      <c r="C78" s="36" t="str">
        <f t="shared" si="16"/>
        <v>HOZ20</v>
      </c>
      <c r="D78" s="35">
        <v>1.2842</v>
      </c>
      <c r="E78" s="32">
        <v>1.2972999999999999</v>
      </c>
      <c r="F78" s="32">
        <v>1.2043999999999999</v>
      </c>
      <c r="G78" s="32">
        <v>1.29</v>
      </c>
      <c r="H78" s="32">
        <v>1.2058</v>
      </c>
      <c r="I78" s="32">
        <v>1.2554000000000001</v>
      </c>
      <c r="J78" s="32">
        <v>1.2291000000000001</v>
      </c>
      <c r="K78" s="32">
        <v>1.2982</v>
      </c>
      <c r="L78" s="32">
        <v>1.2956000000000001</v>
      </c>
      <c r="M78" s="32">
        <v>1.2585</v>
      </c>
      <c r="N78" s="32">
        <v>1.2838000000000001</v>
      </c>
      <c r="O78" s="32">
        <v>1.2898000000000001</v>
      </c>
      <c r="P78" s="32">
        <v>1.2787999999999999</v>
      </c>
      <c r="Q78" s="32">
        <v>1.2093</v>
      </c>
      <c r="R78" s="32">
        <v>1.2298</v>
      </c>
      <c r="S78" s="32">
        <v>1.2675000000000001</v>
      </c>
      <c r="T78" s="32">
        <v>1.2398</v>
      </c>
      <c r="U78" s="32">
        <v>1.2366999999999999</v>
      </c>
      <c r="V78" s="32">
        <v>1.2444</v>
      </c>
      <c r="W78" s="32">
        <v>1.2528999999999999</v>
      </c>
      <c r="X78" s="32">
        <v>1.2863</v>
      </c>
      <c r="Y78" s="32">
        <v>1.2424999999999999</v>
      </c>
      <c r="Z78" s="32">
        <v>1.2907999999999999</v>
      </c>
      <c r="AA78" s="32">
        <v>1.2889999999999999</v>
      </c>
      <c r="AB78" s="32">
        <v>1.2269000000000001</v>
      </c>
      <c r="AC78" s="32">
        <v>1.2614000000000001</v>
      </c>
      <c r="AD78" s="32">
        <v>1.2776000000000001</v>
      </c>
      <c r="AE78" s="32">
        <v>1.2242</v>
      </c>
      <c r="AF78" s="32">
        <v>1.2622</v>
      </c>
      <c r="AG78" s="32">
        <v>1.3</v>
      </c>
      <c r="AH78" s="32">
        <v>1.2786</v>
      </c>
      <c r="AI78" s="32">
        <v>1.2121999999999999</v>
      </c>
      <c r="AJ78" s="32">
        <v>1.2575000000000001</v>
      </c>
      <c r="AK78" s="32">
        <v>1.2537</v>
      </c>
      <c r="AL78" s="32">
        <v>1.2491000000000001</v>
      </c>
      <c r="AM78" s="32">
        <v>1.2317</v>
      </c>
      <c r="AN78" s="32">
        <v>1.2408999999999999</v>
      </c>
      <c r="AO78" s="32">
        <v>1.2019</v>
      </c>
      <c r="AP78" s="32">
        <v>1.2683</v>
      </c>
      <c r="AQ78" s="32">
        <v>1.2842</v>
      </c>
      <c r="AR78" s="116">
        <f t="shared" ca="1" si="22"/>
        <v>1.2209000000000001</v>
      </c>
    </row>
    <row r="79" spans="1:44" x14ac:dyDescent="0.35">
      <c r="A79" t="s">
        <v>78</v>
      </c>
      <c r="B79" t="s">
        <v>54</v>
      </c>
      <c r="C79" s="36" t="str">
        <f t="shared" si="16"/>
        <v>RBG21</v>
      </c>
      <c r="D79" s="35">
        <v>1.2775000000000001</v>
      </c>
      <c r="E79" s="32">
        <v>1.2275</v>
      </c>
      <c r="F79" s="32">
        <v>1.2814000000000001</v>
      </c>
      <c r="G79" s="32">
        <v>1.2344999999999999</v>
      </c>
      <c r="H79" s="32">
        <v>1.2101999999999999</v>
      </c>
      <c r="I79" s="32">
        <v>1.232</v>
      </c>
      <c r="J79" s="32">
        <v>1.2725</v>
      </c>
      <c r="K79" s="32">
        <v>1.2883</v>
      </c>
      <c r="L79" s="32">
        <v>1.2293000000000001</v>
      </c>
      <c r="M79" s="32">
        <v>1.2502</v>
      </c>
      <c r="N79" s="32">
        <v>1.2059</v>
      </c>
      <c r="O79" s="32">
        <v>1.2039</v>
      </c>
      <c r="P79" s="32">
        <v>1.2814000000000001</v>
      </c>
      <c r="Q79" s="32">
        <v>1.2834000000000001</v>
      </c>
      <c r="R79" s="32">
        <v>1.252</v>
      </c>
      <c r="S79" s="32">
        <v>1.2568999999999999</v>
      </c>
      <c r="T79" s="32">
        <v>1.2806999999999999</v>
      </c>
      <c r="U79" s="32">
        <v>1.2910999999999999</v>
      </c>
      <c r="V79" s="32">
        <v>1.2638</v>
      </c>
      <c r="W79" s="32">
        <v>1.2898000000000001</v>
      </c>
      <c r="X79" s="32">
        <v>1.2063999999999999</v>
      </c>
      <c r="Y79" s="32">
        <v>1.2459</v>
      </c>
      <c r="Z79" s="32">
        <v>1.2065999999999999</v>
      </c>
      <c r="AA79" s="32">
        <v>1.2982</v>
      </c>
      <c r="AB79" s="32">
        <v>1.2793000000000001</v>
      </c>
      <c r="AC79" s="32">
        <v>1.2657</v>
      </c>
      <c r="AD79" s="32">
        <v>1.2399</v>
      </c>
      <c r="AE79" s="32">
        <v>1.2439</v>
      </c>
      <c r="AF79" s="32">
        <v>1.2644</v>
      </c>
      <c r="AG79" s="32">
        <v>1.2603</v>
      </c>
      <c r="AH79" s="32">
        <v>1.2744</v>
      </c>
      <c r="AI79" s="32">
        <v>1.2323</v>
      </c>
      <c r="AJ79" s="32">
        <v>1.266</v>
      </c>
      <c r="AK79" s="32">
        <v>1.286</v>
      </c>
      <c r="AL79" s="32">
        <v>1.2290000000000001</v>
      </c>
      <c r="AM79" s="32">
        <v>1.2603</v>
      </c>
      <c r="AN79" s="32">
        <v>1.2795000000000001</v>
      </c>
      <c r="AO79" s="32">
        <v>1.2549999999999999</v>
      </c>
      <c r="AP79" s="32">
        <v>1.2304999999999999</v>
      </c>
      <c r="AQ79" s="32">
        <v>1.2775000000000001</v>
      </c>
      <c r="AR79" s="116">
        <f t="shared" ref="AQ79:AR84" ca="1" si="23">RANDBETWEEN(12000,13000)/10000</f>
        <v>1.2330000000000001</v>
      </c>
    </row>
    <row r="80" spans="1:44" x14ac:dyDescent="0.35">
      <c r="A80" t="s">
        <v>78</v>
      </c>
      <c r="B80" t="s">
        <v>24</v>
      </c>
      <c r="C80" s="36" t="str">
        <f t="shared" si="16"/>
        <v>RBJ20</v>
      </c>
      <c r="D80" s="35">
        <v>1.2861</v>
      </c>
      <c r="E80" s="32">
        <v>1.2035</v>
      </c>
      <c r="F80" s="32">
        <v>1.2203999999999999</v>
      </c>
      <c r="G80" s="32">
        <v>1.2257</v>
      </c>
      <c r="H80" s="32">
        <v>1.2297</v>
      </c>
      <c r="I80" s="32">
        <v>1.2472000000000001</v>
      </c>
      <c r="J80" s="32">
        <v>1.2383999999999999</v>
      </c>
      <c r="K80" s="32">
        <v>1.2676000000000001</v>
      </c>
      <c r="L80" s="32">
        <v>1.2582</v>
      </c>
      <c r="M80" s="32">
        <v>1.2947</v>
      </c>
      <c r="N80" s="32">
        <v>1.2408999999999999</v>
      </c>
      <c r="O80" s="32">
        <v>1.2836000000000001</v>
      </c>
      <c r="P80" s="32">
        <v>1.2393000000000001</v>
      </c>
      <c r="Q80" s="32">
        <v>1.288</v>
      </c>
      <c r="R80" s="32">
        <v>1.2484</v>
      </c>
      <c r="S80" s="32">
        <v>1.2733000000000001</v>
      </c>
      <c r="T80" s="32">
        <v>1.2438</v>
      </c>
      <c r="U80" s="32">
        <v>1.2869999999999999</v>
      </c>
      <c r="V80" s="32">
        <v>1.2029000000000001</v>
      </c>
      <c r="W80" s="32">
        <v>1.2682</v>
      </c>
      <c r="X80" s="32">
        <v>1.2809999999999999</v>
      </c>
      <c r="Y80" s="32">
        <v>1.2231000000000001</v>
      </c>
      <c r="Z80" s="32">
        <v>1.2661</v>
      </c>
      <c r="AA80" s="32">
        <v>1.2730999999999999</v>
      </c>
      <c r="AB80" s="32">
        <v>1.2569999999999999</v>
      </c>
      <c r="AC80" s="32">
        <v>1.2688999999999999</v>
      </c>
      <c r="AD80" s="32">
        <v>1.2713000000000001</v>
      </c>
      <c r="AE80" s="32">
        <v>1.2853000000000001</v>
      </c>
      <c r="AF80" s="32">
        <v>1.2544999999999999</v>
      </c>
      <c r="AG80" s="32">
        <v>1.2395</v>
      </c>
      <c r="AH80" s="32">
        <v>1.2236</v>
      </c>
      <c r="AI80" s="32">
        <v>1.2553000000000001</v>
      </c>
      <c r="AJ80" s="32">
        <v>1.2786</v>
      </c>
      <c r="AK80" s="32">
        <v>1.2084999999999999</v>
      </c>
      <c r="AL80" s="32">
        <v>1.2173</v>
      </c>
      <c r="AM80" s="32">
        <v>1.2894000000000001</v>
      </c>
      <c r="AN80" s="32">
        <v>1.2532000000000001</v>
      </c>
      <c r="AO80" s="32">
        <v>1.2275</v>
      </c>
      <c r="AP80" s="32">
        <v>1.2818000000000001</v>
      </c>
      <c r="AQ80" s="32">
        <v>1.2861</v>
      </c>
      <c r="AR80" s="116">
        <f t="shared" ca="1" si="23"/>
        <v>1.2274</v>
      </c>
    </row>
    <row r="81" spans="1:44" x14ac:dyDescent="0.35">
      <c r="A81" t="s">
        <v>78</v>
      </c>
      <c r="B81" t="s">
        <v>29</v>
      </c>
      <c r="C81" s="36" t="str">
        <f t="shared" si="16"/>
        <v>RBM20</v>
      </c>
      <c r="D81" s="35">
        <v>1.2477</v>
      </c>
      <c r="E81" s="32">
        <v>1.2996000000000001</v>
      </c>
      <c r="F81" s="32">
        <v>1.2338</v>
      </c>
      <c r="G81" s="32">
        <v>1.2721</v>
      </c>
      <c r="H81" s="32">
        <v>1.2813000000000001</v>
      </c>
      <c r="I81" s="32">
        <v>1.2506999999999999</v>
      </c>
      <c r="J81" s="32">
        <v>1.2635000000000001</v>
      </c>
      <c r="K81" s="32">
        <v>1.258</v>
      </c>
      <c r="L81" s="32">
        <v>1.2532000000000001</v>
      </c>
      <c r="M81" s="32">
        <v>1.2194</v>
      </c>
      <c r="N81" s="32">
        <v>1.2463</v>
      </c>
      <c r="O81" s="32">
        <v>1.2015</v>
      </c>
      <c r="P81" s="32">
        <v>1.2413000000000001</v>
      </c>
      <c r="Q81" s="32">
        <v>1.2876000000000001</v>
      </c>
      <c r="R81" s="32">
        <v>1.2179</v>
      </c>
      <c r="S81" s="32">
        <v>1.2192000000000001</v>
      </c>
      <c r="T81" s="32">
        <v>1.2809999999999999</v>
      </c>
      <c r="U81" s="32">
        <v>1.2607999999999999</v>
      </c>
      <c r="V81" s="32">
        <v>1.2032</v>
      </c>
      <c r="W81" s="32">
        <v>1.2796000000000001</v>
      </c>
      <c r="X81" s="32">
        <v>1.2825</v>
      </c>
      <c r="Y81" s="32">
        <v>1.2008000000000001</v>
      </c>
      <c r="Z81" s="32">
        <v>1.2357</v>
      </c>
      <c r="AA81" s="32">
        <v>1.2369000000000001</v>
      </c>
      <c r="AB81" s="32">
        <v>1.2224999999999999</v>
      </c>
      <c r="AC81" s="32">
        <v>1.2479</v>
      </c>
      <c r="AD81" s="32">
        <v>1.2394000000000001</v>
      </c>
      <c r="AE81" s="32">
        <v>1.2277</v>
      </c>
      <c r="AF81" s="32">
        <v>1.2444</v>
      </c>
      <c r="AG81" s="32">
        <v>1.2562</v>
      </c>
      <c r="AH81" s="32">
        <v>1.2948999999999999</v>
      </c>
      <c r="AI81" s="32">
        <v>1.2382</v>
      </c>
      <c r="AJ81" s="32">
        <v>1.2753000000000001</v>
      </c>
      <c r="AK81" s="32">
        <v>1.2408999999999999</v>
      </c>
      <c r="AL81" s="32">
        <v>1.2728999999999999</v>
      </c>
      <c r="AM81" s="32">
        <v>1.2153</v>
      </c>
      <c r="AN81" s="32">
        <v>1.2039</v>
      </c>
      <c r="AO81" s="32">
        <v>1.244</v>
      </c>
      <c r="AP81" s="32">
        <v>1.2649999999999999</v>
      </c>
      <c r="AQ81" s="32">
        <v>1.2477</v>
      </c>
      <c r="AR81" s="116">
        <f t="shared" ca="1" si="23"/>
        <v>1.2958000000000001</v>
      </c>
    </row>
    <row r="82" spans="1:44" x14ac:dyDescent="0.35">
      <c r="A82" t="s">
        <v>78</v>
      </c>
      <c r="B82" t="s">
        <v>35</v>
      </c>
      <c r="C82" s="36" t="str">
        <f t="shared" si="16"/>
        <v>RBQ20</v>
      </c>
      <c r="D82" s="35">
        <v>1.242</v>
      </c>
      <c r="E82" s="32">
        <v>1.2516</v>
      </c>
      <c r="F82" s="32">
        <v>1.2323</v>
      </c>
      <c r="G82" s="32">
        <v>1.2403999999999999</v>
      </c>
      <c r="H82" s="32">
        <v>1.2855000000000001</v>
      </c>
      <c r="I82" s="32">
        <v>1.2092000000000001</v>
      </c>
      <c r="J82" s="32">
        <v>1.2769999999999999</v>
      </c>
      <c r="K82" s="32">
        <v>1.2729999999999999</v>
      </c>
      <c r="L82" s="32">
        <v>1.2649999999999999</v>
      </c>
      <c r="M82" s="32">
        <v>1.2673000000000001</v>
      </c>
      <c r="N82" s="32">
        <v>1.2743</v>
      </c>
      <c r="O82" s="32">
        <v>1.2224999999999999</v>
      </c>
      <c r="P82" s="32">
        <v>1.2282999999999999</v>
      </c>
      <c r="Q82" s="32">
        <v>1.2782</v>
      </c>
      <c r="R82" s="32">
        <v>1.2710999999999999</v>
      </c>
      <c r="S82" s="32">
        <v>1.2189000000000001</v>
      </c>
      <c r="T82" s="32">
        <v>1.2259</v>
      </c>
      <c r="U82" s="32">
        <v>1.2766999999999999</v>
      </c>
      <c r="V82" s="32">
        <v>1.2222999999999999</v>
      </c>
      <c r="W82" s="32">
        <v>1.2844</v>
      </c>
      <c r="X82" s="32">
        <v>1.2455000000000001</v>
      </c>
      <c r="Y82" s="32">
        <v>1.2273000000000001</v>
      </c>
      <c r="Z82" s="32">
        <v>1.2904</v>
      </c>
      <c r="AA82" s="32">
        <v>1.2768999999999999</v>
      </c>
      <c r="AB82" s="32">
        <v>1.2665</v>
      </c>
      <c r="AC82" s="32">
        <v>1.2967</v>
      </c>
      <c r="AD82" s="32">
        <v>1.2607999999999999</v>
      </c>
      <c r="AE82" s="32">
        <v>1.2387999999999999</v>
      </c>
      <c r="AF82" s="32">
        <v>1.2374000000000001</v>
      </c>
      <c r="AG82" s="32">
        <v>1.2428999999999999</v>
      </c>
      <c r="AH82" s="32">
        <v>1.2085999999999999</v>
      </c>
      <c r="AI82" s="32">
        <v>1.2874000000000001</v>
      </c>
      <c r="AJ82" s="32">
        <v>1.2169000000000001</v>
      </c>
      <c r="AK82" s="32">
        <v>1.2307999999999999</v>
      </c>
      <c r="AL82" s="32">
        <v>1.2139</v>
      </c>
      <c r="AM82" s="32">
        <v>1.2143999999999999</v>
      </c>
      <c r="AN82" s="32">
        <v>1.2643</v>
      </c>
      <c r="AO82" s="32">
        <v>1.2058</v>
      </c>
      <c r="AP82" s="32">
        <v>1.2281</v>
      </c>
      <c r="AQ82" s="32">
        <v>1.242</v>
      </c>
      <c r="AR82" s="116">
        <f t="shared" ca="1" si="23"/>
        <v>1.218</v>
      </c>
    </row>
    <row r="83" spans="1:44" x14ac:dyDescent="0.35">
      <c r="A83" t="s">
        <v>78</v>
      </c>
      <c r="B83" t="s">
        <v>41</v>
      </c>
      <c r="C83" s="36" t="str">
        <f t="shared" si="16"/>
        <v>RBV20</v>
      </c>
      <c r="D83" s="35">
        <v>1.2065999999999999</v>
      </c>
      <c r="E83" s="32">
        <v>1.2710999999999999</v>
      </c>
      <c r="F83" s="32">
        <v>1.21</v>
      </c>
      <c r="G83" s="32">
        <v>1.2582</v>
      </c>
      <c r="H83" s="32">
        <v>1.2109000000000001</v>
      </c>
      <c r="I83" s="32">
        <v>1.2586999999999999</v>
      </c>
      <c r="J83" s="32">
        <v>1.2406999999999999</v>
      </c>
      <c r="K83" s="32">
        <v>1.2950999999999999</v>
      </c>
      <c r="L83" s="32">
        <v>1.2347999999999999</v>
      </c>
      <c r="M83" s="32">
        <v>1.2239</v>
      </c>
      <c r="N83" s="32">
        <v>1.2854000000000001</v>
      </c>
      <c r="O83" s="32">
        <v>1.2352000000000001</v>
      </c>
      <c r="P83" s="32">
        <v>1.2083999999999999</v>
      </c>
      <c r="Q83" s="32">
        <v>1.2198</v>
      </c>
      <c r="R83" s="32">
        <v>1.2369000000000001</v>
      </c>
      <c r="S83" s="32">
        <v>1.2095</v>
      </c>
      <c r="T83" s="32">
        <v>1.2639</v>
      </c>
      <c r="U83" s="32">
        <v>1.2448999999999999</v>
      </c>
      <c r="V83" s="32">
        <v>1.2004999999999999</v>
      </c>
      <c r="W83" s="32">
        <v>1.2685</v>
      </c>
      <c r="X83" s="32">
        <v>1.2249000000000001</v>
      </c>
      <c r="Y83" s="32">
        <v>1.2330000000000001</v>
      </c>
      <c r="Z83" s="32">
        <v>1.2745</v>
      </c>
      <c r="AA83" s="32">
        <v>1.2211000000000001</v>
      </c>
      <c r="AB83" s="32">
        <v>1.2914000000000001</v>
      </c>
      <c r="AC83" s="32">
        <v>1.2223999999999999</v>
      </c>
      <c r="AD83" s="32">
        <v>1.2850999999999999</v>
      </c>
      <c r="AE83" s="32">
        <v>1.2138</v>
      </c>
      <c r="AF83" s="32">
        <v>1.2978000000000001</v>
      </c>
      <c r="AG83" s="32">
        <v>1.2773000000000001</v>
      </c>
      <c r="AH83" s="32">
        <v>1.2204999999999999</v>
      </c>
      <c r="AI83" s="32">
        <v>1.2070000000000001</v>
      </c>
      <c r="AJ83" s="32">
        <v>1.2650999999999999</v>
      </c>
      <c r="AK83" s="32">
        <v>1.2444999999999999</v>
      </c>
      <c r="AL83" s="32">
        <v>1.2426999999999999</v>
      </c>
      <c r="AM83" s="32">
        <v>1.2730999999999999</v>
      </c>
      <c r="AN83" s="32">
        <v>1.2654000000000001</v>
      </c>
      <c r="AO83" s="32">
        <v>1.2739</v>
      </c>
      <c r="AP83" s="32">
        <v>1.2966</v>
      </c>
      <c r="AQ83" s="32">
        <v>1.2065999999999999</v>
      </c>
      <c r="AR83" s="116">
        <f t="shared" ca="1" si="23"/>
        <v>1.2537</v>
      </c>
    </row>
    <row r="84" spans="1:44" x14ac:dyDescent="0.35">
      <c r="A84" t="s">
        <v>78</v>
      </c>
      <c r="B84" t="s">
        <v>6</v>
      </c>
      <c r="C84" s="36" t="str">
        <f t="shared" si="16"/>
        <v>RBZ20</v>
      </c>
      <c r="D84" s="35">
        <v>1.2563</v>
      </c>
      <c r="E84" s="32">
        <v>1.2403999999999999</v>
      </c>
      <c r="F84" s="32">
        <v>1.2981</v>
      </c>
      <c r="G84" s="32">
        <v>1.2699</v>
      </c>
      <c r="H84" s="32">
        <v>1.2518</v>
      </c>
      <c r="I84" s="32">
        <v>1.2229000000000001</v>
      </c>
      <c r="J84" s="32">
        <v>1.202</v>
      </c>
      <c r="K84" s="32">
        <v>1.2075</v>
      </c>
      <c r="L84" s="32">
        <v>1.2736000000000001</v>
      </c>
      <c r="M84" s="32">
        <v>1.2413000000000001</v>
      </c>
      <c r="N84" s="32">
        <v>1.2343999999999999</v>
      </c>
      <c r="O84" s="32">
        <v>1.2253000000000001</v>
      </c>
      <c r="P84" s="32">
        <v>1.2158</v>
      </c>
      <c r="Q84" s="32">
        <v>1.2384999999999999</v>
      </c>
      <c r="R84" s="32">
        <v>1.2142999999999999</v>
      </c>
      <c r="S84" s="32">
        <v>1.2351000000000001</v>
      </c>
      <c r="T84" s="32">
        <v>1.2776000000000001</v>
      </c>
      <c r="U84" s="32">
        <v>1.2750999999999999</v>
      </c>
      <c r="V84" s="32">
        <v>1.2758</v>
      </c>
      <c r="W84" s="32">
        <v>1.2092000000000001</v>
      </c>
      <c r="X84" s="32">
        <v>1.2423999999999999</v>
      </c>
      <c r="Y84" s="32">
        <v>1.2536</v>
      </c>
      <c r="Z84" s="32">
        <v>1.2864</v>
      </c>
      <c r="AA84" s="32">
        <v>1.2548999999999999</v>
      </c>
      <c r="AB84" s="32">
        <v>1.2856000000000001</v>
      </c>
      <c r="AC84" s="32">
        <v>1.2775000000000001</v>
      </c>
      <c r="AD84" s="32">
        <v>1.2528999999999999</v>
      </c>
      <c r="AE84" s="32">
        <v>1.2509999999999999</v>
      </c>
      <c r="AF84" s="32">
        <v>1.2709999999999999</v>
      </c>
      <c r="AG84" s="32">
        <v>1.2132000000000001</v>
      </c>
      <c r="AH84" s="32">
        <v>1.2431000000000001</v>
      </c>
      <c r="AI84" s="32">
        <v>1.228</v>
      </c>
      <c r="AJ84" s="32">
        <v>1.2630999999999999</v>
      </c>
      <c r="AK84" s="32">
        <v>1.2350000000000001</v>
      </c>
      <c r="AL84" s="32">
        <v>1.2374000000000001</v>
      </c>
      <c r="AM84" s="32">
        <v>1.2827999999999999</v>
      </c>
      <c r="AN84" s="32">
        <v>1.2656000000000001</v>
      </c>
      <c r="AO84" s="32">
        <v>1.2397</v>
      </c>
      <c r="AP84" s="32">
        <v>1.2390000000000001</v>
      </c>
      <c r="AQ84" s="32">
        <v>1.2563</v>
      </c>
      <c r="AR84" s="116">
        <f t="shared" ca="1" si="23"/>
        <v>1.204</v>
      </c>
    </row>
    <row r="85" spans="1:44" x14ac:dyDescent="0.35">
      <c r="A85" t="s">
        <v>103</v>
      </c>
      <c r="B85" t="s">
        <v>54</v>
      </c>
      <c r="C85" s="36" t="str">
        <f t="shared" si="16"/>
        <v>LHG21</v>
      </c>
      <c r="D85" s="35">
        <v>80.260000000000005</v>
      </c>
      <c r="E85" s="32">
        <v>79.98</v>
      </c>
      <c r="F85" s="32">
        <v>78.95</v>
      </c>
      <c r="G85" s="32">
        <v>81.489999999999995</v>
      </c>
      <c r="H85" s="32">
        <v>79.569999999999993</v>
      </c>
      <c r="I85" s="32">
        <v>78.89</v>
      </c>
      <c r="J85" s="32">
        <v>81.13</v>
      </c>
      <c r="K85" s="32">
        <v>78.64</v>
      </c>
      <c r="L85" s="32">
        <v>79.569999999999993</v>
      </c>
      <c r="M85" s="32">
        <v>79.52</v>
      </c>
      <c r="N85" s="32">
        <v>80.680000000000007</v>
      </c>
      <c r="O85" s="32">
        <v>80.459999999999994</v>
      </c>
      <c r="P85" s="32">
        <v>79.400000000000006</v>
      </c>
      <c r="Q85" s="32">
        <v>78.86</v>
      </c>
      <c r="R85" s="32">
        <v>78.17</v>
      </c>
      <c r="S85" s="32">
        <v>78.260000000000005</v>
      </c>
      <c r="T85" s="32">
        <v>78.069999999999993</v>
      </c>
      <c r="U85" s="32">
        <v>80.349999999999994</v>
      </c>
      <c r="V85" s="32">
        <v>79.22</v>
      </c>
      <c r="W85" s="32">
        <v>79.41</v>
      </c>
      <c r="X85" s="32">
        <v>81.13</v>
      </c>
      <c r="Y85" s="32">
        <v>81.739999999999995</v>
      </c>
      <c r="Z85" s="32">
        <v>81.41</v>
      </c>
      <c r="AA85" s="32">
        <v>79.25</v>
      </c>
      <c r="AB85" s="32">
        <v>80.959999999999994</v>
      </c>
      <c r="AC85" s="32">
        <v>81.319999999999993</v>
      </c>
      <c r="AD85" s="32">
        <v>78.19</v>
      </c>
      <c r="AE85" s="32">
        <v>78.900000000000006</v>
      </c>
      <c r="AF85" s="32">
        <v>79.099999999999994</v>
      </c>
      <c r="AG85" s="32">
        <v>80.959999999999994</v>
      </c>
      <c r="AH85" s="32">
        <v>78.819999999999993</v>
      </c>
      <c r="AI85" s="32">
        <v>79.09</v>
      </c>
      <c r="AJ85" s="32">
        <v>78.62</v>
      </c>
      <c r="AK85" s="32">
        <v>78.19</v>
      </c>
      <c r="AL85" s="32">
        <v>80.64</v>
      </c>
      <c r="AM85" s="32">
        <v>79.489999999999995</v>
      </c>
      <c r="AN85" s="32">
        <v>81.03</v>
      </c>
      <c r="AO85" s="32">
        <v>80.510000000000005</v>
      </c>
      <c r="AP85" s="32">
        <v>80.63</v>
      </c>
      <c r="AQ85" s="32">
        <v>80.260000000000005</v>
      </c>
      <c r="AR85" s="116">
        <f t="shared" ref="AQ85:AR90" ca="1" si="24">RANDBETWEEN(7800,8200)/100</f>
        <v>79.22</v>
      </c>
    </row>
    <row r="86" spans="1:44" x14ac:dyDescent="0.35">
      <c r="A86" t="s">
        <v>103</v>
      </c>
      <c r="B86" t="s">
        <v>24</v>
      </c>
      <c r="C86" s="36" t="str">
        <f t="shared" si="16"/>
        <v>LHJ20</v>
      </c>
      <c r="D86" s="35">
        <v>79.75</v>
      </c>
      <c r="E86" s="32">
        <v>78.41</v>
      </c>
      <c r="F86" s="32">
        <v>79.98</v>
      </c>
      <c r="G86" s="32">
        <v>81.55</v>
      </c>
      <c r="H86" s="32">
        <v>79.52</v>
      </c>
      <c r="I86" s="32">
        <v>80.2</v>
      </c>
      <c r="J86" s="32">
        <v>80.87</v>
      </c>
      <c r="K86" s="32">
        <v>79.25</v>
      </c>
      <c r="L86" s="32">
        <v>78.97</v>
      </c>
      <c r="M86" s="32">
        <v>81.87</v>
      </c>
      <c r="N86" s="32">
        <v>78.849999999999994</v>
      </c>
      <c r="O86" s="32">
        <v>78.73</v>
      </c>
      <c r="P86" s="32">
        <v>81.73</v>
      </c>
      <c r="Q86" s="32">
        <v>78.17</v>
      </c>
      <c r="R86" s="32">
        <v>78.94</v>
      </c>
      <c r="S86" s="32">
        <v>80.349999999999994</v>
      </c>
      <c r="T86" s="32">
        <v>81.680000000000007</v>
      </c>
      <c r="U86" s="32">
        <v>80.37</v>
      </c>
      <c r="V86" s="32">
        <v>79.34</v>
      </c>
      <c r="W86" s="32">
        <v>79.38</v>
      </c>
      <c r="X86" s="32">
        <v>78.75</v>
      </c>
      <c r="Y86" s="32">
        <v>78.83</v>
      </c>
      <c r="Z86" s="32">
        <v>79.349999999999994</v>
      </c>
      <c r="AA86" s="32">
        <v>79.510000000000005</v>
      </c>
      <c r="AB86" s="32">
        <v>78.930000000000007</v>
      </c>
      <c r="AC86" s="32">
        <v>79.89</v>
      </c>
      <c r="AD86" s="32">
        <v>78.31</v>
      </c>
      <c r="AE86" s="32">
        <v>81.5</v>
      </c>
      <c r="AF86" s="32">
        <v>78.83</v>
      </c>
      <c r="AG86" s="32">
        <v>79.88</v>
      </c>
      <c r="AH86" s="32">
        <v>81.540000000000006</v>
      </c>
      <c r="AI86" s="32">
        <v>81.97</v>
      </c>
      <c r="AJ86" s="32">
        <v>81.5</v>
      </c>
      <c r="AK86" s="32">
        <v>79.42</v>
      </c>
      <c r="AL86" s="32">
        <v>80.84</v>
      </c>
      <c r="AM86" s="32">
        <v>81.760000000000005</v>
      </c>
      <c r="AN86" s="32">
        <v>82</v>
      </c>
      <c r="AO86" s="32">
        <v>78.37</v>
      </c>
      <c r="AP86" s="32">
        <v>80.5</v>
      </c>
      <c r="AQ86" s="32">
        <v>79.75</v>
      </c>
      <c r="AR86" s="116">
        <f t="shared" ca="1" si="24"/>
        <v>80.790000000000006</v>
      </c>
    </row>
    <row r="87" spans="1:44" x14ac:dyDescent="0.35">
      <c r="A87" t="s">
        <v>103</v>
      </c>
      <c r="B87" t="s">
        <v>29</v>
      </c>
      <c r="C87" s="36" t="str">
        <f t="shared" si="16"/>
        <v>LHM20</v>
      </c>
      <c r="D87" s="35">
        <v>80.28</v>
      </c>
      <c r="E87" s="32">
        <v>79.58</v>
      </c>
      <c r="F87" s="32">
        <v>78.709999999999994</v>
      </c>
      <c r="G87" s="32">
        <v>78.08</v>
      </c>
      <c r="H87" s="32">
        <v>80.540000000000006</v>
      </c>
      <c r="I87" s="32">
        <v>81.55</v>
      </c>
      <c r="J87" s="32">
        <v>79.05</v>
      </c>
      <c r="K87" s="32">
        <v>78.47</v>
      </c>
      <c r="L87" s="32">
        <v>81.180000000000007</v>
      </c>
      <c r="M87" s="32">
        <v>79.349999999999994</v>
      </c>
      <c r="N87" s="32">
        <v>78.150000000000006</v>
      </c>
      <c r="O87" s="32">
        <v>80.63</v>
      </c>
      <c r="P87" s="32">
        <v>79.17</v>
      </c>
      <c r="Q87" s="32">
        <v>80.260000000000005</v>
      </c>
      <c r="R87" s="32">
        <v>81.680000000000007</v>
      </c>
      <c r="S87" s="32">
        <v>78.260000000000005</v>
      </c>
      <c r="T87" s="32">
        <v>80.41</v>
      </c>
      <c r="U87" s="32">
        <v>80.36</v>
      </c>
      <c r="V87" s="32">
        <v>80.180000000000007</v>
      </c>
      <c r="W87" s="32">
        <v>81.12</v>
      </c>
      <c r="X87" s="32">
        <v>78.44</v>
      </c>
      <c r="Y87" s="32">
        <v>80.45</v>
      </c>
      <c r="Z87" s="32">
        <v>78.44</v>
      </c>
      <c r="AA87" s="32">
        <v>80.739999999999995</v>
      </c>
      <c r="AB87" s="32">
        <v>78.13</v>
      </c>
      <c r="AC87" s="32">
        <v>78.19</v>
      </c>
      <c r="AD87" s="32">
        <v>79.83</v>
      </c>
      <c r="AE87" s="32">
        <v>81.680000000000007</v>
      </c>
      <c r="AF87" s="32">
        <v>81.150000000000006</v>
      </c>
      <c r="AG87" s="32">
        <v>79.760000000000005</v>
      </c>
      <c r="AH87" s="32">
        <v>78.88</v>
      </c>
      <c r="AI87" s="32">
        <v>81.489999999999995</v>
      </c>
      <c r="AJ87" s="32">
        <v>78.19</v>
      </c>
      <c r="AK87" s="32">
        <v>78.58</v>
      </c>
      <c r="AL87" s="32">
        <v>79.739999999999995</v>
      </c>
      <c r="AM87" s="32">
        <v>81.03</v>
      </c>
      <c r="AN87" s="32">
        <v>78.88</v>
      </c>
      <c r="AO87" s="32">
        <v>81.489999999999995</v>
      </c>
      <c r="AP87" s="32">
        <v>80.16</v>
      </c>
      <c r="AQ87" s="32">
        <v>80.28</v>
      </c>
      <c r="AR87" s="116">
        <f t="shared" ca="1" si="24"/>
        <v>81.66</v>
      </c>
    </row>
    <row r="88" spans="1:44" x14ac:dyDescent="0.35">
      <c r="A88" t="s">
        <v>103</v>
      </c>
      <c r="B88" t="s">
        <v>35</v>
      </c>
      <c r="C88" s="36" t="str">
        <f t="shared" si="16"/>
        <v>LHQ20</v>
      </c>
      <c r="D88" s="35">
        <v>79.819999999999993</v>
      </c>
      <c r="E88" s="32">
        <v>81.459999999999994</v>
      </c>
      <c r="F88" s="32">
        <v>78.400000000000006</v>
      </c>
      <c r="G88" s="32">
        <v>79.650000000000006</v>
      </c>
      <c r="H88" s="32">
        <v>81.13</v>
      </c>
      <c r="I88" s="32">
        <v>80.010000000000005</v>
      </c>
      <c r="J88" s="32">
        <v>78.44</v>
      </c>
      <c r="K88" s="32">
        <v>78.16</v>
      </c>
      <c r="L88" s="32">
        <v>78.42</v>
      </c>
      <c r="M88" s="32">
        <v>81.09</v>
      </c>
      <c r="N88" s="32">
        <v>79.430000000000007</v>
      </c>
      <c r="O88" s="32">
        <v>81.72</v>
      </c>
      <c r="P88" s="32">
        <v>79.52</v>
      </c>
      <c r="Q88" s="32">
        <v>79.760000000000005</v>
      </c>
      <c r="R88" s="32">
        <v>81.58</v>
      </c>
      <c r="S88" s="32">
        <v>79.569999999999993</v>
      </c>
      <c r="T88" s="32">
        <v>81.3</v>
      </c>
      <c r="U88" s="32">
        <v>79.09</v>
      </c>
      <c r="V88" s="32">
        <v>79.650000000000006</v>
      </c>
      <c r="W88" s="32">
        <v>81.75</v>
      </c>
      <c r="X88" s="32">
        <v>79.52</v>
      </c>
      <c r="Y88" s="32">
        <v>81.260000000000005</v>
      </c>
      <c r="Z88" s="32">
        <v>81.430000000000007</v>
      </c>
      <c r="AA88" s="32">
        <v>81.180000000000007</v>
      </c>
      <c r="AB88" s="32">
        <v>78.66</v>
      </c>
      <c r="AC88" s="32">
        <v>80.28</v>
      </c>
      <c r="AD88" s="32">
        <v>78.790000000000006</v>
      </c>
      <c r="AE88" s="32">
        <v>80.53</v>
      </c>
      <c r="AF88" s="32">
        <v>80.87</v>
      </c>
      <c r="AG88" s="32">
        <v>78.78</v>
      </c>
      <c r="AH88" s="32">
        <v>80.650000000000006</v>
      </c>
      <c r="AI88" s="32">
        <v>81.760000000000005</v>
      </c>
      <c r="AJ88" s="32">
        <v>81.11</v>
      </c>
      <c r="AK88" s="32">
        <v>79.319999999999993</v>
      </c>
      <c r="AL88" s="32">
        <v>80.75</v>
      </c>
      <c r="AM88" s="32">
        <v>81.290000000000006</v>
      </c>
      <c r="AN88" s="32">
        <v>78.37</v>
      </c>
      <c r="AO88" s="32">
        <v>81.48</v>
      </c>
      <c r="AP88" s="32">
        <v>78.33</v>
      </c>
      <c r="AQ88" s="32">
        <v>79.819999999999993</v>
      </c>
      <c r="AR88" s="116">
        <f t="shared" ca="1" si="24"/>
        <v>79.739999999999995</v>
      </c>
    </row>
    <row r="89" spans="1:44" x14ac:dyDescent="0.35">
      <c r="A89" t="s">
        <v>103</v>
      </c>
      <c r="B89" t="s">
        <v>41</v>
      </c>
      <c r="C89" s="36" t="str">
        <f t="shared" si="16"/>
        <v>LHV20</v>
      </c>
      <c r="D89" s="35">
        <v>79.42</v>
      </c>
      <c r="E89" s="32">
        <v>81.459999999999994</v>
      </c>
      <c r="F89" s="32">
        <v>78.260000000000005</v>
      </c>
      <c r="G89" s="32">
        <v>80.69</v>
      </c>
      <c r="H89" s="32">
        <v>80.48</v>
      </c>
      <c r="I89" s="32">
        <v>79.22</v>
      </c>
      <c r="J89" s="32">
        <v>79.3</v>
      </c>
      <c r="K89" s="32">
        <v>81.23</v>
      </c>
      <c r="L89" s="32">
        <v>78.59</v>
      </c>
      <c r="M89" s="32">
        <v>79.91</v>
      </c>
      <c r="N89" s="32">
        <v>81.58</v>
      </c>
      <c r="O89" s="32">
        <v>79.36</v>
      </c>
      <c r="P89" s="32">
        <v>81.75</v>
      </c>
      <c r="Q89" s="32">
        <v>81.099999999999994</v>
      </c>
      <c r="R89" s="32">
        <v>80.11</v>
      </c>
      <c r="S89" s="32">
        <v>80.47</v>
      </c>
      <c r="T89" s="32">
        <v>78.66</v>
      </c>
      <c r="U89" s="32">
        <v>78.180000000000007</v>
      </c>
      <c r="V89" s="32">
        <v>80.709999999999994</v>
      </c>
      <c r="W89" s="32">
        <v>80.14</v>
      </c>
      <c r="X89" s="32">
        <v>80.680000000000007</v>
      </c>
      <c r="Y89" s="32">
        <v>81.709999999999994</v>
      </c>
      <c r="Z89" s="32">
        <v>80.91</v>
      </c>
      <c r="AA89" s="32">
        <v>79.739999999999995</v>
      </c>
      <c r="AB89" s="32">
        <v>78.040000000000006</v>
      </c>
      <c r="AC89" s="32">
        <v>81.64</v>
      </c>
      <c r="AD89" s="32">
        <v>78.89</v>
      </c>
      <c r="AE89" s="32">
        <v>79.81</v>
      </c>
      <c r="AF89" s="32">
        <v>80.34</v>
      </c>
      <c r="AG89" s="32">
        <v>81.99</v>
      </c>
      <c r="AH89" s="32">
        <v>81.349999999999994</v>
      </c>
      <c r="AI89" s="32">
        <v>78.209999999999994</v>
      </c>
      <c r="AJ89" s="32">
        <v>81.03</v>
      </c>
      <c r="AK89" s="32">
        <v>79.13</v>
      </c>
      <c r="AL89" s="32">
        <v>81.400000000000006</v>
      </c>
      <c r="AM89" s="32">
        <v>81.94</v>
      </c>
      <c r="AN89" s="32">
        <v>79.8</v>
      </c>
      <c r="AO89" s="32">
        <v>78.72</v>
      </c>
      <c r="AP89" s="32">
        <v>78.989999999999995</v>
      </c>
      <c r="AQ89" s="32">
        <v>79.42</v>
      </c>
      <c r="AR89" s="116">
        <f t="shared" ca="1" si="24"/>
        <v>78.19</v>
      </c>
    </row>
    <row r="90" spans="1:44" x14ac:dyDescent="0.35">
      <c r="A90" t="s">
        <v>103</v>
      </c>
      <c r="B90" t="s">
        <v>6</v>
      </c>
      <c r="C90" s="36" t="str">
        <f t="shared" si="16"/>
        <v>LHZ20</v>
      </c>
      <c r="D90" s="35">
        <v>78.56</v>
      </c>
      <c r="E90" s="32">
        <v>80.47</v>
      </c>
      <c r="F90" s="32">
        <v>79.95</v>
      </c>
      <c r="G90" s="32">
        <v>78.56</v>
      </c>
      <c r="H90" s="32">
        <v>81.37</v>
      </c>
      <c r="I90" s="32">
        <v>78.38</v>
      </c>
      <c r="J90" s="32">
        <v>81.67</v>
      </c>
      <c r="K90" s="32">
        <v>79.19</v>
      </c>
      <c r="L90" s="32">
        <v>78.900000000000006</v>
      </c>
      <c r="M90" s="32">
        <v>78.05</v>
      </c>
      <c r="N90" s="32">
        <v>81.39</v>
      </c>
      <c r="O90" s="32">
        <v>80.22</v>
      </c>
      <c r="P90" s="32">
        <v>81.260000000000005</v>
      </c>
      <c r="Q90" s="32">
        <v>80.72</v>
      </c>
      <c r="R90" s="32">
        <v>78.28</v>
      </c>
      <c r="S90" s="32">
        <v>78.37</v>
      </c>
      <c r="T90" s="32">
        <v>80.290000000000006</v>
      </c>
      <c r="U90" s="32">
        <v>79.97</v>
      </c>
      <c r="V90" s="32">
        <v>80.33</v>
      </c>
      <c r="W90" s="32">
        <v>78.39</v>
      </c>
      <c r="X90" s="32">
        <v>79.88</v>
      </c>
      <c r="Y90" s="32">
        <v>79.989999999999995</v>
      </c>
      <c r="Z90" s="32">
        <v>81.64</v>
      </c>
      <c r="AA90" s="32">
        <v>81.569999999999993</v>
      </c>
      <c r="AB90" s="32">
        <v>81.47</v>
      </c>
      <c r="AC90" s="32">
        <v>78.66</v>
      </c>
      <c r="AD90" s="32">
        <v>81.56</v>
      </c>
      <c r="AE90" s="32">
        <v>80.19</v>
      </c>
      <c r="AF90" s="32">
        <v>81.650000000000006</v>
      </c>
      <c r="AG90" s="32">
        <v>78.87</v>
      </c>
      <c r="AH90" s="32">
        <v>80.650000000000006</v>
      </c>
      <c r="AI90" s="32">
        <v>79</v>
      </c>
      <c r="AJ90" s="32">
        <v>81.37</v>
      </c>
      <c r="AK90" s="32">
        <v>79.36</v>
      </c>
      <c r="AL90" s="32">
        <v>81.239999999999995</v>
      </c>
      <c r="AM90" s="32">
        <v>78.23</v>
      </c>
      <c r="AN90" s="32">
        <v>81.290000000000006</v>
      </c>
      <c r="AO90" s="32">
        <v>78.66</v>
      </c>
      <c r="AP90" s="32">
        <v>78.5</v>
      </c>
      <c r="AQ90" s="32">
        <v>78.56</v>
      </c>
      <c r="AR90" s="116">
        <f t="shared" ca="1" si="24"/>
        <v>79.98</v>
      </c>
    </row>
    <row r="91" spans="1:44" x14ac:dyDescent="0.35">
      <c r="A91" t="s">
        <v>107</v>
      </c>
      <c r="B91" t="s">
        <v>54</v>
      </c>
      <c r="C91" s="36" t="str">
        <f t="shared" si="16"/>
        <v>GCG21</v>
      </c>
      <c r="D91" s="35">
        <v>1547</v>
      </c>
      <c r="E91" s="31">
        <v>1564</v>
      </c>
      <c r="F91" s="31">
        <v>1645</v>
      </c>
      <c r="G91" s="31">
        <v>1572</v>
      </c>
      <c r="H91" s="31">
        <v>1605</v>
      </c>
      <c r="I91" s="31">
        <v>1582</v>
      </c>
      <c r="J91" s="31">
        <v>1570</v>
      </c>
      <c r="K91" s="31">
        <v>1659</v>
      </c>
      <c r="L91" s="31">
        <v>1563</v>
      </c>
      <c r="M91" s="31">
        <v>1503</v>
      </c>
      <c r="N91" s="31">
        <v>1555</v>
      </c>
      <c r="O91" s="31">
        <v>1648</v>
      </c>
      <c r="P91" s="31">
        <v>1550</v>
      </c>
      <c r="Q91" s="31">
        <v>1533</v>
      </c>
      <c r="R91" s="31">
        <v>1625</v>
      </c>
      <c r="S91" s="31">
        <v>1514</v>
      </c>
      <c r="T91" s="31">
        <v>1544</v>
      </c>
      <c r="U91" s="31">
        <v>1605</v>
      </c>
      <c r="V91" s="31">
        <v>1635</v>
      </c>
      <c r="W91" s="31">
        <v>1599</v>
      </c>
      <c r="X91" s="31">
        <v>1624</v>
      </c>
      <c r="Y91" s="31">
        <v>1509</v>
      </c>
      <c r="Z91" s="31">
        <v>1504</v>
      </c>
      <c r="AA91" s="31">
        <v>1615</v>
      </c>
      <c r="AB91" s="31">
        <v>1523</v>
      </c>
      <c r="AC91" s="31">
        <v>1532</v>
      </c>
      <c r="AD91" s="31">
        <v>1623</v>
      </c>
      <c r="AE91" s="31">
        <v>1523</v>
      </c>
      <c r="AF91" s="31">
        <v>1592</v>
      </c>
      <c r="AG91" s="31">
        <v>1575</v>
      </c>
      <c r="AH91" s="31">
        <v>1650</v>
      </c>
      <c r="AI91" s="31">
        <v>1508</v>
      </c>
      <c r="AJ91" s="31">
        <v>1572</v>
      </c>
      <c r="AK91" s="31">
        <v>1507</v>
      </c>
      <c r="AL91" s="31">
        <v>1538</v>
      </c>
      <c r="AM91" s="31">
        <v>1562</v>
      </c>
      <c r="AN91" s="31">
        <v>1658</v>
      </c>
      <c r="AO91" s="31">
        <v>1652</v>
      </c>
      <c r="AP91" s="31">
        <v>1551</v>
      </c>
      <c r="AQ91" s="31">
        <v>1547</v>
      </c>
      <c r="AR91" s="115">
        <f t="shared" ref="AQ91:AR96" ca="1" si="25">RANDBETWEEN(1500,1660)</f>
        <v>1636</v>
      </c>
    </row>
    <row r="92" spans="1:44" x14ac:dyDescent="0.35">
      <c r="A92" t="s">
        <v>107</v>
      </c>
      <c r="B92" t="s">
        <v>24</v>
      </c>
      <c r="C92" s="36" t="str">
        <f t="shared" si="16"/>
        <v>GCJ20</v>
      </c>
      <c r="D92" s="35">
        <v>1592</v>
      </c>
      <c r="E92" s="31">
        <v>1616</v>
      </c>
      <c r="F92" s="31">
        <v>1535</v>
      </c>
      <c r="G92" s="31">
        <v>1514</v>
      </c>
      <c r="H92" s="31">
        <v>1551</v>
      </c>
      <c r="I92" s="31">
        <v>1551</v>
      </c>
      <c r="J92" s="31">
        <v>1633</v>
      </c>
      <c r="K92" s="31">
        <v>1649</v>
      </c>
      <c r="L92" s="31">
        <v>1570</v>
      </c>
      <c r="M92" s="31">
        <v>1553</v>
      </c>
      <c r="N92" s="31">
        <v>1500</v>
      </c>
      <c r="O92" s="31">
        <v>1530</v>
      </c>
      <c r="P92" s="31">
        <v>1605</v>
      </c>
      <c r="Q92" s="31">
        <v>1656</v>
      </c>
      <c r="R92" s="31">
        <v>1548</v>
      </c>
      <c r="S92" s="31">
        <v>1596</v>
      </c>
      <c r="T92" s="31">
        <v>1530</v>
      </c>
      <c r="U92" s="31">
        <v>1556</v>
      </c>
      <c r="V92" s="31">
        <v>1588</v>
      </c>
      <c r="W92" s="31">
        <v>1654</v>
      </c>
      <c r="X92" s="31">
        <v>1533</v>
      </c>
      <c r="Y92" s="31">
        <v>1644</v>
      </c>
      <c r="Z92" s="31">
        <v>1602</v>
      </c>
      <c r="AA92" s="31">
        <v>1652</v>
      </c>
      <c r="AB92" s="31">
        <v>1643</v>
      </c>
      <c r="AC92" s="31">
        <v>1532</v>
      </c>
      <c r="AD92" s="31">
        <v>1641</v>
      </c>
      <c r="AE92" s="31">
        <v>1531</v>
      </c>
      <c r="AF92" s="31">
        <v>1632</v>
      </c>
      <c r="AG92" s="31">
        <v>1513</v>
      </c>
      <c r="AH92" s="31">
        <v>1525</v>
      </c>
      <c r="AI92" s="31">
        <v>1592</v>
      </c>
      <c r="AJ92" s="31">
        <v>1506</v>
      </c>
      <c r="AK92" s="31">
        <v>1591</v>
      </c>
      <c r="AL92" s="31">
        <v>1652</v>
      </c>
      <c r="AM92" s="31">
        <v>1615</v>
      </c>
      <c r="AN92" s="31">
        <v>1588</v>
      </c>
      <c r="AO92" s="31">
        <v>1521</v>
      </c>
      <c r="AP92" s="31">
        <v>1614</v>
      </c>
      <c r="AQ92" s="31">
        <v>1592</v>
      </c>
      <c r="AR92" s="115">
        <f t="shared" ca="1" si="25"/>
        <v>1565</v>
      </c>
    </row>
    <row r="93" spans="1:44" x14ac:dyDescent="0.35">
      <c r="A93" t="s">
        <v>107</v>
      </c>
      <c r="B93" t="s">
        <v>29</v>
      </c>
      <c r="C93" s="36" t="str">
        <f t="shared" si="16"/>
        <v>GCM20</v>
      </c>
      <c r="D93" s="35">
        <v>1652</v>
      </c>
      <c r="E93" s="31">
        <v>1599</v>
      </c>
      <c r="F93" s="31">
        <v>1581</v>
      </c>
      <c r="G93" s="31">
        <v>1658</v>
      </c>
      <c r="H93" s="31">
        <v>1579</v>
      </c>
      <c r="I93" s="31">
        <v>1640</v>
      </c>
      <c r="J93" s="31">
        <v>1509</v>
      </c>
      <c r="K93" s="31">
        <v>1515</v>
      </c>
      <c r="L93" s="31">
        <v>1564</v>
      </c>
      <c r="M93" s="31">
        <v>1536</v>
      </c>
      <c r="N93" s="31">
        <v>1583</v>
      </c>
      <c r="O93" s="31">
        <v>1596</v>
      </c>
      <c r="P93" s="31">
        <v>1603</v>
      </c>
      <c r="Q93" s="31">
        <v>1592</v>
      </c>
      <c r="R93" s="31">
        <v>1609</v>
      </c>
      <c r="S93" s="31">
        <v>1539</v>
      </c>
      <c r="T93" s="31">
        <v>1543</v>
      </c>
      <c r="U93" s="31">
        <v>1539</v>
      </c>
      <c r="V93" s="31">
        <v>1655</v>
      </c>
      <c r="W93" s="31">
        <v>1645</v>
      </c>
      <c r="X93" s="31">
        <v>1564</v>
      </c>
      <c r="Y93" s="31">
        <v>1614</v>
      </c>
      <c r="Z93" s="31">
        <v>1625</v>
      </c>
      <c r="AA93" s="31">
        <v>1659</v>
      </c>
      <c r="AB93" s="31">
        <v>1542</v>
      </c>
      <c r="AC93" s="31">
        <v>1539</v>
      </c>
      <c r="AD93" s="31">
        <v>1630</v>
      </c>
      <c r="AE93" s="31">
        <v>1500</v>
      </c>
      <c r="AF93" s="31">
        <v>1557</v>
      </c>
      <c r="AG93" s="31">
        <v>1652</v>
      </c>
      <c r="AH93" s="31">
        <v>1528</v>
      </c>
      <c r="AI93" s="31">
        <v>1510</v>
      </c>
      <c r="AJ93" s="31">
        <v>1521</v>
      </c>
      <c r="AK93" s="31">
        <v>1514</v>
      </c>
      <c r="AL93" s="31">
        <v>1568</v>
      </c>
      <c r="AM93" s="31">
        <v>1621</v>
      </c>
      <c r="AN93" s="31">
        <v>1601</v>
      </c>
      <c r="AO93" s="31">
        <v>1631</v>
      </c>
      <c r="AP93" s="31">
        <v>1641</v>
      </c>
      <c r="AQ93" s="31">
        <v>1652</v>
      </c>
      <c r="AR93" s="115">
        <f t="shared" ca="1" si="25"/>
        <v>1632</v>
      </c>
    </row>
    <row r="94" spans="1:44" x14ac:dyDescent="0.35">
      <c r="A94" t="s">
        <v>107</v>
      </c>
      <c r="B94" t="s">
        <v>35</v>
      </c>
      <c r="C94" s="36" t="str">
        <f t="shared" si="16"/>
        <v>GCQ20</v>
      </c>
      <c r="D94" s="35">
        <v>1653</v>
      </c>
      <c r="E94" s="31">
        <v>1647</v>
      </c>
      <c r="F94" s="31">
        <v>1586</v>
      </c>
      <c r="G94" s="31">
        <v>1615</v>
      </c>
      <c r="H94" s="31">
        <v>1607</v>
      </c>
      <c r="I94" s="31">
        <v>1519</v>
      </c>
      <c r="J94" s="31">
        <v>1588</v>
      </c>
      <c r="K94" s="31">
        <v>1552</v>
      </c>
      <c r="L94" s="31">
        <v>1547</v>
      </c>
      <c r="M94" s="31">
        <v>1588</v>
      </c>
      <c r="N94" s="31">
        <v>1614</v>
      </c>
      <c r="O94" s="31">
        <v>1534</v>
      </c>
      <c r="P94" s="31">
        <v>1588</v>
      </c>
      <c r="Q94" s="31">
        <v>1567</v>
      </c>
      <c r="R94" s="31">
        <v>1513</v>
      </c>
      <c r="S94" s="31">
        <v>1623</v>
      </c>
      <c r="T94" s="31">
        <v>1624</v>
      </c>
      <c r="U94" s="31">
        <v>1616</v>
      </c>
      <c r="V94" s="31">
        <v>1535</v>
      </c>
      <c r="W94" s="31">
        <v>1558</v>
      </c>
      <c r="X94" s="31">
        <v>1528</v>
      </c>
      <c r="Y94" s="31">
        <v>1640</v>
      </c>
      <c r="Z94" s="31">
        <v>1635</v>
      </c>
      <c r="AA94" s="31">
        <v>1621</v>
      </c>
      <c r="AB94" s="31">
        <v>1589</v>
      </c>
      <c r="AC94" s="31">
        <v>1577</v>
      </c>
      <c r="AD94" s="31">
        <v>1658</v>
      </c>
      <c r="AE94" s="31">
        <v>1609</v>
      </c>
      <c r="AF94" s="31">
        <v>1562</v>
      </c>
      <c r="AG94" s="31">
        <v>1600</v>
      </c>
      <c r="AH94" s="31">
        <v>1561</v>
      </c>
      <c r="AI94" s="31">
        <v>1618</v>
      </c>
      <c r="AJ94" s="31">
        <v>1652</v>
      </c>
      <c r="AK94" s="31">
        <v>1650</v>
      </c>
      <c r="AL94" s="31">
        <v>1551</v>
      </c>
      <c r="AM94" s="31">
        <v>1562</v>
      </c>
      <c r="AN94" s="31">
        <v>1521</v>
      </c>
      <c r="AO94" s="31">
        <v>1562</v>
      </c>
      <c r="AP94" s="31">
        <v>1573</v>
      </c>
      <c r="AQ94" s="31">
        <v>1653</v>
      </c>
      <c r="AR94" s="115">
        <f t="shared" ca="1" si="25"/>
        <v>1625</v>
      </c>
    </row>
    <row r="95" spans="1:44" x14ac:dyDescent="0.35">
      <c r="A95" t="s">
        <v>107</v>
      </c>
      <c r="B95" t="s">
        <v>41</v>
      </c>
      <c r="C95" s="36" t="str">
        <f t="shared" si="16"/>
        <v>GCV20</v>
      </c>
      <c r="D95" s="35">
        <v>1550</v>
      </c>
      <c r="E95" s="31">
        <v>1640</v>
      </c>
      <c r="F95" s="31">
        <v>1630</v>
      </c>
      <c r="G95" s="31">
        <v>1542</v>
      </c>
      <c r="H95" s="31">
        <v>1638</v>
      </c>
      <c r="I95" s="31">
        <v>1544</v>
      </c>
      <c r="J95" s="31">
        <v>1546</v>
      </c>
      <c r="K95" s="31">
        <v>1634</v>
      </c>
      <c r="L95" s="31">
        <v>1657</v>
      </c>
      <c r="M95" s="31">
        <v>1632</v>
      </c>
      <c r="N95" s="31">
        <v>1537</v>
      </c>
      <c r="O95" s="31">
        <v>1639</v>
      </c>
      <c r="P95" s="31">
        <v>1593</v>
      </c>
      <c r="Q95" s="31">
        <v>1574</v>
      </c>
      <c r="R95" s="31">
        <v>1572</v>
      </c>
      <c r="S95" s="31">
        <v>1602</v>
      </c>
      <c r="T95" s="31">
        <v>1624</v>
      </c>
      <c r="U95" s="31">
        <v>1532</v>
      </c>
      <c r="V95" s="31">
        <v>1614</v>
      </c>
      <c r="W95" s="31">
        <v>1537</v>
      </c>
      <c r="X95" s="31">
        <v>1519</v>
      </c>
      <c r="Y95" s="31">
        <v>1518</v>
      </c>
      <c r="Z95" s="31">
        <v>1633</v>
      </c>
      <c r="AA95" s="31">
        <v>1655</v>
      </c>
      <c r="AB95" s="31">
        <v>1569</v>
      </c>
      <c r="AC95" s="31">
        <v>1544</v>
      </c>
      <c r="AD95" s="31">
        <v>1643</v>
      </c>
      <c r="AE95" s="31">
        <v>1634</v>
      </c>
      <c r="AF95" s="31">
        <v>1524</v>
      </c>
      <c r="AG95" s="31">
        <v>1501</v>
      </c>
      <c r="AH95" s="31">
        <v>1538</v>
      </c>
      <c r="AI95" s="31">
        <v>1587</v>
      </c>
      <c r="AJ95" s="31">
        <v>1565</v>
      </c>
      <c r="AK95" s="31">
        <v>1510</v>
      </c>
      <c r="AL95" s="31">
        <v>1650</v>
      </c>
      <c r="AM95" s="31">
        <v>1655</v>
      </c>
      <c r="AN95" s="31">
        <v>1615</v>
      </c>
      <c r="AO95" s="31">
        <v>1539</v>
      </c>
      <c r="AP95" s="31">
        <v>1597</v>
      </c>
      <c r="AQ95" s="31">
        <v>1550</v>
      </c>
      <c r="AR95" s="115">
        <f t="shared" ca="1" si="25"/>
        <v>1552</v>
      </c>
    </row>
    <row r="96" spans="1:44" x14ac:dyDescent="0.35">
      <c r="A96" t="s">
        <v>107</v>
      </c>
      <c r="B96" t="s">
        <v>6</v>
      </c>
      <c r="C96" s="36" t="str">
        <f t="shared" si="16"/>
        <v>GCZ20</v>
      </c>
      <c r="D96" s="35">
        <v>1550</v>
      </c>
      <c r="E96" s="31">
        <v>1564</v>
      </c>
      <c r="F96" s="31">
        <v>1632</v>
      </c>
      <c r="G96" s="31">
        <v>1513</v>
      </c>
      <c r="H96" s="31">
        <v>1570</v>
      </c>
      <c r="I96" s="31">
        <v>1624</v>
      </c>
      <c r="J96" s="31">
        <v>1614</v>
      </c>
      <c r="K96" s="31">
        <v>1507</v>
      </c>
      <c r="L96" s="31">
        <v>1503</v>
      </c>
      <c r="M96" s="31">
        <v>1637</v>
      </c>
      <c r="N96" s="31">
        <v>1503</v>
      </c>
      <c r="O96" s="31">
        <v>1553</v>
      </c>
      <c r="P96" s="31">
        <v>1508</v>
      </c>
      <c r="Q96" s="31">
        <v>1602</v>
      </c>
      <c r="R96" s="31">
        <v>1575</v>
      </c>
      <c r="S96" s="31">
        <v>1648</v>
      </c>
      <c r="T96" s="31">
        <v>1613</v>
      </c>
      <c r="U96" s="31">
        <v>1557</v>
      </c>
      <c r="V96" s="31">
        <v>1660</v>
      </c>
      <c r="W96" s="31">
        <v>1540</v>
      </c>
      <c r="X96" s="31">
        <v>1634</v>
      </c>
      <c r="Y96" s="31">
        <v>1573</v>
      </c>
      <c r="Z96" s="31">
        <v>1595</v>
      </c>
      <c r="AA96" s="31">
        <v>1542</v>
      </c>
      <c r="AB96" s="31">
        <v>1542</v>
      </c>
      <c r="AC96" s="31">
        <v>1526</v>
      </c>
      <c r="AD96" s="31">
        <v>1568</v>
      </c>
      <c r="AE96" s="31">
        <v>1660</v>
      </c>
      <c r="AF96" s="31">
        <v>1618</v>
      </c>
      <c r="AG96" s="31">
        <v>1607</v>
      </c>
      <c r="AH96" s="31">
        <v>1584</v>
      </c>
      <c r="AI96" s="31">
        <v>1650</v>
      </c>
      <c r="AJ96" s="31">
        <v>1580</v>
      </c>
      <c r="AK96" s="31">
        <v>1650</v>
      </c>
      <c r="AL96" s="31">
        <v>1515</v>
      </c>
      <c r="AM96" s="31">
        <v>1625</v>
      </c>
      <c r="AN96" s="31">
        <v>1533</v>
      </c>
      <c r="AO96" s="31">
        <v>1535</v>
      </c>
      <c r="AP96" s="31">
        <v>1591</v>
      </c>
      <c r="AQ96" s="31">
        <v>1550</v>
      </c>
      <c r="AR96" s="115">
        <f t="shared" ca="1" si="25"/>
        <v>1586</v>
      </c>
    </row>
    <row r="97" spans="1:44" x14ac:dyDescent="0.35">
      <c r="A97" t="s">
        <v>111</v>
      </c>
      <c r="B97" t="s">
        <v>54</v>
      </c>
      <c r="C97" s="36" t="str">
        <f t="shared" si="16"/>
        <v>SIG21</v>
      </c>
      <c r="D97" s="35">
        <v>17.66</v>
      </c>
      <c r="E97" s="32">
        <v>18.04</v>
      </c>
      <c r="F97" s="32">
        <v>17.02</v>
      </c>
      <c r="G97" s="32">
        <v>17.989999999999998</v>
      </c>
      <c r="H97" s="32">
        <v>18.18</v>
      </c>
      <c r="I97" s="32">
        <v>17.75</v>
      </c>
      <c r="J97" s="32">
        <v>17.670000000000002</v>
      </c>
      <c r="K97" s="32">
        <v>18.07</v>
      </c>
      <c r="L97" s="32">
        <v>18.02</v>
      </c>
      <c r="M97" s="32">
        <v>17.54</v>
      </c>
      <c r="N97" s="32">
        <v>18.14</v>
      </c>
      <c r="O97" s="32">
        <v>18.45</v>
      </c>
      <c r="P97" s="32">
        <v>17.7</v>
      </c>
      <c r="Q97" s="32">
        <v>17.04</v>
      </c>
      <c r="R97" s="32">
        <v>17.88</v>
      </c>
      <c r="S97" s="32">
        <v>18.309999999999999</v>
      </c>
      <c r="T97" s="32">
        <v>18.32</v>
      </c>
      <c r="U97" s="32">
        <v>18.36</v>
      </c>
      <c r="V97" s="32">
        <v>18.420000000000002</v>
      </c>
      <c r="W97" s="32">
        <v>17.29</v>
      </c>
      <c r="X97" s="32">
        <v>17.95</v>
      </c>
      <c r="Y97" s="32">
        <v>17.850000000000001</v>
      </c>
      <c r="Z97" s="32">
        <v>17.45</v>
      </c>
      <c r="AA97" s="32">
        <v>18.489999999999998</v>
      </c>
      <c r="AB97" s="32">
        <v>17.16</v>
      </c>
      <c r="AC97" s="32">
        <v>18.3</v>
      </c>
      <c r="AD97" s="32">
        <v>17.36</v>
      </c>
      <c r="AE97" s="32">
        <v>18.309999999999999</v>
      </c>
      <c r="AF97" s="32">
        <v>17.36</v>
      </c>
      <c r="AG97" s="32">
        <v>17.96</v>
      </c>
      <c r="AH97" s="32">
        <v>18.420000000000002</v>
      </c>
      <c r="AI97" s="32">
        <v>18.07</v>
      </c>
      <c r="AJ97" s="32">
        <v>17.510000000000002</v>
      </c>
      <c r="AK97" s="32">
        <v>17.559999999999999</v>
      </c>
      <c r="AL97" s="32">
        <v>17.97</v>
      </c>
      <c r="AM97" s="32">
        <v>18.29</v>
      </c>
      <c r="AN97" s="32">
        <v>17.52</v>
      </c>
      <c r="AO97" s="32">
        <v>17.14</v>
      </c>
      <c r="AP97" s="32">
        <v>18.05</v>
      </c>
      <c r="AQ97" s="32">
        <v>17.66</v>
      </c>
      <c r="AR97" s="116">
        <f t="shared" ref="AQ97:AR102" ca="1" si="26">RANDBETWEEN(1700,1850)/100</f>
        <v>17.760000000000002</v>
      </c>
    </row>
    <row r="98" spans="1:44" x14ac:dyDescent="0.35">
      <c r="A98" t="s">
        <v>111</v>
      </c>
      <c r="B98" t="s">
        <v>24</v>
      </c>
      <c r="C98" s="36" t="str">
        <f t="shared" si="16"/>
        <v>SIJ20</v>
      </c>
      <c r="D98" s="35">
        <v>17.97</v>
      </c>
      <c r="E98" s="32">
        <v>17.510000000000002</v>
      </c>
      <c r="F98" s="32">
        <v>17.32</v>
      </c>
      <c r="G98" s="32">
        <v>18.489999999999998</v>
      </c>
      <c r="H98" s="32">
        <v>17.57</v>
      </c>
      <c r="I98" s="32">
        <v>17.02</v>
      </c>
      <c r="J98" s="32">
        <v>18.239999999999998</v>
      </c>
      <c r="K98" s="32">
        <v>17.87</v>
      </c>
      <c r="L98" s="32">
        <v>18.37</v>
      </c>
      <c r="M98" s="32">
        <v>17.68</v>
      </c>
      <c r="N98" s="32">
        <v>18.440000000000001</v>
      </c>
      <c r="O98" s="32">
        <v>18.079999999999998</v>
      </c>
      <c r="P98" s="32">
        <v>17.059999999999999</v>
      </c>
      <c r="Q98" s="32">
        <v>18.399999999999999</v>
      </c>
      <c r="R98" s="32">
        <v>18.149999999999999</v>
      </c>
      <c r="S98" s="32">
        <v>17.260000000000002</v>
      </c>
      <c r="T98" s="32">
        <v>17.27</v>
      </c>
      <c r="U98" s="32">
        <v>17.77</v>
      </c>
      <c r="V98" s="32">
        <v>17.989999999999998</v>
      </c>
      <c r="W98" s="32">
        <v>17.579999999999998</v>
      </c>
      <c r="X98" s="32">
        <v>17.350000000000001</v>
      </c>
      <c r="Y98" s="32">
        <v>17.89</v>
      </c>
      <c r="Z98" s="32">
        <v>17.68</v>
      </c>
      <c r="AA98" s="32">
        <v>17.079999999999998</v>
      </c>
      <c r="AB98" s="32">
        <v>17.18</v>
      </c>
      <c r="AC98" s="32">
        <v>17.68</v>
      </c>
      <c r="AD98" s="32">
        <v>17.38</v>
      </c>
      <c r="AE98" s="32">
        <v>17.05</v>
      </c>
      <c r="AF98" s="32">
        <v>18.25</v>
      </c>
      <c r="AG98" s="32">
        <v>17.54</v>
      </c>
      <c r="AH98" s="32">
        <v>18.47</v>
      </c>
      <c r="AI98" s="32">
        <v>17.64</v>
      </c>
      <c r="AJ98" s="32">
        <v>18.3</v>
      </c>
      <c r="AK98" s="32">
        <v>17.64</v>
      </c>
      <c r="AL98" s="32">
        <v>18.47</v>
      </c>
      <c r="AM98" s="32">
        <v>17.27</v>
      </c>
      <c r="AN98" s="32">
        <v>17.89</v>
      </c>
      <c r="AO98" s="32">
        <v>17.36</v>
      </c>
      <c r="AP98" s="32">
        <v>17.59</v>
      </c>
      <c r="AQ98" s="32">
        <v>17.97</v>
      </c>
      <c r="AR98" s="116">
        <f t="shared" ca="1" si="26"/>
        <v>17.53</v>
      </c>
    </row>
    <row r="99" spans="1:44" x14ac:dyDescent="0.35">
      <c r="A99" t="s">
        <v>111</v>
      </c>
      <c r="B99" t="s">
        <v>29</v>
      </c>
      <c r="C99" s="36" t="str">
        <f t="shared" si="16"/>
        <v>SIM20</v>
      </c>
      <c r="D99" s="35">
        <v>17.62</v>
      </c>
      <c r="E99" s="32">
        <v>17.93</v>
      </c>
      <c r="F99" s="32">
        <v>17.96</v>
      </c>
      <c r="G99" s="32">
        <v>18.28</v>
      </c>
      <c r="H99" s="32">
        <v>17.690000000000001</v>
      </c>
      <c r="I99" s="32">
        <v>17.59</v>
      </c>
      <c r="J99" s="32">
        <v>17.100000000000001</v>
      </c>
      <c r="K99" s="32">
        <v>17.96</v>
      </c>
      <c r="L99" s="32">
        <v>17.28</v>
      </c>
      <c r="M99" s="32">
        <v>18.100000000000001</v>
      </c>
      <c r="N99" s="32">
        <v>17.95</v>
      </c>
      <c r="O99" s="32">
        <v>18.47</v>
      </c>
      <c r="P99" s="32">
        <v>17.350000000000001</v>
      </c>
      <c r="Q99" s="32">
        <v>18.13</v>
      </c>
      <c r="R99" s="32">
        <v>17.97</v>
      </c>
      <c r="S99" s="32">
        <v>18.28</v>
      </c>
      <c r="T99" s="32">
        <v>18.239999999999998</v>
      </c>
      <c r="U99" s="32">
        <v>18.07</v>
      </c>
      <c r="V99" s="32">
        <v>18.239999999999998</v>
      </c>
      <c r="W99" s="32">
        <v>17.8</v>
      </c>
      <c r="X99" s="32">
        <v>18.170000000000002</v>
      </c>
      <c r="Y99" s="32">
        <v>17.690000000000001</v>
      </c>
      <c r="Z99" s="32">
        <v>17.57</v>
      </c>
      <c r="AA99" s="32">
        <v>17.32</v>
      </c>
      <c r="AB99" s="32">
        <v>18.46</v>
      </c>
      <c r="AC99" s="32">
        <v>17.54</v>
      </c>
      <c r="AD99" s="32">
        <v>18.11</v>
      </c>
      <c r="AE99" s="32">
        <v>17.37</v>
      </c>
      <c r="AF99" s="32">
        <v>17.22</v>
      </c>
      <c r="AG99" s="32">
        <v>17.420000000000002</v>
      </c>
      <c r="AH99" s="32">
        <v>18.399999999999999</v>
      </c>
      <c r="AI99" s="32">
        <v>17.87</v>
      </c>
      <c r="AJ99" s="32">
        <v>17.71</v>
      </c>
      <c r="AK99" s="32">
        <v>18.350000000000001</v>
      </c>
      <c r="AL99" s="32">
        <v>18.2</v>
      </c>
      <c r="AM99" s="32">
        <v>18.22</v>
      </c>
      <c r="AN99" s="32">
        <v>18.37</v>
      </c>
      <c r="AO99" s="32">
        <v>17.61</v>
      </c>
      <c r="AP99" s="32">
        <v>17.68</v>
      </c>
      <c r="AQ99" s="32">
        <v>17.62</v>
      </c>
      <c r="AR99" s="116">
        <f t="shared" ca="1" si="26"/>
        <v>17.91</v>
      </c>
    </row>
    <row r="100" spans="1:44" x14ac:dyDescent="0.35">
      <c r="A100" t="s">
        <v>111</v>
      </c>
      <c r="B100" t="s">
        <v>35</v>
      </c>
      <c r="C100" s="36" t="str">
        <f t="shared" si="16"/>
        <v>SIQ20</v>
      </c>
      <c r="D100" s="35">
        <v>17.55</v>
      </c>
      <c r="E100" s="32">
        <v>17.86</v>
      </c>
      <c r="F100" s="32">
        <v>18.02</v>
      </c>
      <c r="G100" s="32">
        <v>18.41</v>
      </c>
      <c r="H100" s="32">
        <v>17.53</v>
      </c>
      <c r="I100" s="32">
        <v>17.09</v>
      </c>
      <c r="J100" s="32">
        <v>18.28</v>
      </c>
      <c r="K100" s="32">
        <v>17.170000000000002</v>
      </c>
      <c r="L100" s="32">
        <v>18.22</v>
      </c>
      <c r="M100" s="32">
        <v>17.45</v>
      </c>
      <c r="N100" s="32">
        <v>17.190000000000001</v>
      </c>
      <c r="O100" s="32">
        <v>17.57</v>
      </c>
      <c r="P100" s="32">
        <v>17.48</v>
      </c>
      <c r="Q100" s="32">
        <v>17.64</v>
      </c>
      <c r="R100" s="32">
        <v>17.079999999999998</v>
      </c>
      <c r="S100" s="32">
        <v>18.41</v>
      </c>
      <c r="T100" s="32">
        <v>17.13</v>
      </c>
      <c r="U100" s="32">
        <v>17.32</v>
      </c>
      <c r="V100" s="32">
        <v>18.260000000000002</v>
      </c>
      <c r="W100" s="32">
        <v>17.05</v>
      </c>
      <c r="X100" s="32">
        <v>17.309999999999999</v>
      </c>
      <c r="Y100" s="32">
        <v>17.989999999999998</v>
      </c>
      <c r="Z100" s="32">
        <v>17.09</v>
      </c>
      <c r="AA100" s="32">
        <v>17.62</v>
      </c>
      <c r="AB100" s="32">
        <v>18.05</v>
      </c>
      <c r="AC100" s="32">
        <v>18.48</v>
      </c>
      <c r="AD100" s="32">
        <v>18.5</v>
      </c>
      <c r="AE100" s="32">
        <v>17.32</v>
      </c>
      <c r="AF100" s="32">
        <v>17.88</v>
      </c>
      <c r="AG100" s="32">
        <v>18.27</v>
      </c>
      <c r="AH100" s="32">
        <v>18.12</v>
      </c>
      <c r="AI100" s="32">
        <v>18.47</v>
      </c>
      <c r="AJ100" s="32">
        <v>17.96</v>
      </c>
      <c r="AK100" s="32">
        <v>17.97</v>
      </c>
      <c r="AL100" s="32">
        <v>18</v>
      </c>
      <c r="AM100" s="32">
        <v>18.2</v>
      </c>
      <c r="AN100" s="32">
        <v>17.7</v>
      </c>
      <c r="AO100" s="32">
        <v>18.329999999999998</v>
      </c>
      <c r="AP100" s="32">
        <v>17.760000000000002</v>
      </c>
      <c r="AQ100" s="32">
        <v>17.55</v>
      </c>
      <c r="AR100" s="116">
        <f t="shared" ca="1" si="26"/>
        <v>17.16</v>
      </c>
    </row>
    <row r="101" spans="1:44" x14ac:dyDescent="0.35">
      <c r="A101" t="s">
        <v>111</v>
      </c>
      <c r="B101" t="s">
        <v>41</v>
      </c>
      <c r="C101" s="36" t="str">
        <f t="shared" si="16"/>
        <v>SIV20</v>
      </c>
      <c r="D101" s="35">
        <v>17.239999999999998</v>
      </c>
      <c r="E101" s="32">
        <v>17.350000000000001</v>
      </c>
      <c r="F101" s="32">
        <v>17.78</v>
      </c>
      <c r="G101" s="32">
        <v>17.71</v>
      </c>
      <c r="H101" s="32">
        <v>17.309999999999999</v>
      </c>
      <c r="I101" s="32">
        <v>18.5</v>
      </c>
      <c r="J101" s="32">
        <v>18.28</v>
      </c>
      <c r="K101" s="32">
        <v>17.739999999999998</v>
      </c>
      <c r="L101" s="32">
        <v>17.260000000000002</v>
      </c>
      <c r="M101" s="32">
        <v>17.05</v>
      </c>
      <c r="N101" s="32">
        <v>17.3</v>
      </c>
      <c r="O101" s="32">
        <v>18.12</v>
      </c>
      <c r="P101" s="32">
        <v>18.11</v>
      </c>
      <c r="Q101" s="32">
        <v>17.23</v>
      </c>
      <c r="R101" s="32">
        <v>18.13</v>
      </c>
      <c r="S101" s="32">
        <v>17.29</v>
      </c>
      <c r="T101" s="32">
        <v>17.46</v>
      </c>
      <c r="U101" s="32">
        <v>17.239999999999998</v>
      </c>
      <c r="V101" s="32">
        <v>17.13</v>
      </c>
      <c r="W101" s="32">
        <v>17.91</v>
      </c>
      <c r="X101" s="32">
        <v>17.07</v>
      </c>
      <c r="Y101" s="32">
        <v>18.329999999999998</v>
      </c>
      <c r="Z101" s="32">
        <v>17.190000000000001</v>
      </c>
      <c r="AA101" s="32">
        <v>18.440000000000001</v>
      </c>
      <c r="AB101" s="32">
        <v>18.239999999999998</v>
      </c>
      <c r="AC101" s="32">
        <v>17.68</v>
      </c>
      <c r="AD101" s="32">
        <v>17.29</v>
      </c>
      <c r="AE101" s="32">
        <v>18.37</v>
      </c>
      <c r="AF101" s="32">
        <v>17.73</v>
      </c>
      <c r="AG101" s="32">
        <v>18.14</v>
      </c>
      <c r="AH101" s="32">
        <v>17.32</v>
      </c>
      <c r="AI101" s="32">
        <v>18.11</v>
      </c>
      <c r="AJ101" s="32">
        <v>17.239999999999998</v>
      </c>
      <c r="AK101" s="32">
        <v>18.5</v>
      </c>
      <c r="AL101" s="32">
        <v>17.899999999999999</v>
      </c>
      <c r="AM101" s="32">
        <v>18.260000000000002</v>
      </c>
      <c r="AN101" s="32">
        <v>17.29</v>
      </c>
      <c r="AO101" s="32">
        <v>18.3</v>
      </c>
      <c r="AP101" s="32">
        <v>18.149999999999999</v>
      </c>
      <c r="AQ101" s="32">
        <v>17.239999999999998</v>
      </c>
      <c r="AR101" s="116">
        <f t="shared" ca="1" si="26"/>
        <v>17.579999999999998</v>
      </c>
    </row>
    <row r="102" spans="1:44" s="33" customFormat="1" x14ac:dyDescent="0.35">
      <c r="A102" s="33" t="s">
        <v>111</v>
      </c>
      <c r="B102" s="33" t="s">
        <v>6</v>
      </c>
      <c r="C102" s="37" t="str">
        <f t="shared" si="16"/>
        <v>SIZ20</v>
      </c>
      <c r="D102" s="76">
        <v>17.54</v>
      </c>
      <c r="E102" s="34">
        <v>18.309999999999999</v>
      </c>
      <c r="F102" s="34">
        <v>17.8</v>
      </c>
      <c r="G102" s="34">
        <v>17.600000000000001</v>
      </c>
      <c r="H102" s="34">
        <v>17.73</v>
      </c>
      <c r="I102" s="34">
        <v>17.190000000000001</v>
      </c>
      <c r="J102" s="34">
        <v>17.14</v>
      </c>
      <c r="K102" s="34">
        <v>18.440000000000001</v>
      </c>
      <c r="L102" s="34">
        <v>17.68</v>
      </c>
      <c r="M102" s="34">
        <v>17.38</v>
      </c>
      <c r="N102" s="34">
        <v>17.2</v>
      </c>
      <c r="O102" s="34">
        <v>17.170000000000002</v>
      </c>
      <c r="P102" s="34">
        <v>17.84</v>
      </c>
      <c r="Q102" s="34">
        <v>18.46</v>
      </c>
      <c r="R102" s="34">
        <v>18.23</v>
      </c>
      <c r="S102" s="34">
        <v>18.440000000000001</v>
      </c>
      <c r="T102" s="34">
        <v>18.329999999999998</v>
      </c>
      <c r="U102" s="34">
        <v>17.45</v>
      </c>
      <c r="V102" s="34">
        <v>18.05</v>
      </c>
      <c r="W102" s="34">
        <v>17.670000000000002</v>
      </c>
      <c r="X102" s="34">
        <v>17.34</v>
      </c>
      <c r="Y102" s="34">
        <v>17.52</v>
      </c>
      <c r="Z102" s="34">
        <v>17.149999999999999</v>
      </c>
      <c r="AA102" s="34">
        <v>18.13</v>
      </c>
      <c r="AB102" s="34">
        <v>17.54</v>
      </c>
      <c r="AC102" s="34">
        <v>18.43</v>
      </c>
      <c r="AD102" s="34">
        <v>17.8</v>
      </c>
      <c r="AE102" s="34">
        <v>18.48</v>
      </c>
      <c r="AF102" s="34">
        <v>18.18</v>
      </c>
      <c r="AG102" s="34">
        <v>18.25</v>
      </c>
      <c r="AH102" s="34">
        <v>18.18</v>
      </c>
      <c r="AI102" s="34">
        <v>17.670000000000002</v>
      </c>
      <c r="AJ102" s="34">
        <v>17.079999999999998</v>
      </c>
      <c r="AK102" s="34">
        <v>18.2</v>
      </c>
      <c r="AL102" s="34">
        <v>17.149999999999999</v>
      </c>
      <c r="AM102" s="34">
        <v>18.260000000000002</v>
      </c>
      <c r="AN102" s="34">
        <v>17.2</v>
      </c>
      <c r="AO102" s="34">
        <v>17.41</v>
      </c>
      <c r="AP102" s="34">
        <v>17.2</v>
      </c>
      <c r="AQ102" s="34">
        <v>17.54</v>
      </c>
      <c r="AR102" s="117">
        <f t="shared" ca="1" si="26"/>
        <v>17.86</v>
      </c>
    </row>
    <row r="103" spans="1:44" x14ac:dyDescent="0.35">
      <c r="A103" t="s">
        <v>22</v>
      </c>
      <c r="B103" t="s">
        <v>51</v>
      </c>
      <c r="C103" s="36" t="str">
        <f t="shared" si="16"/>
        <v>ROF21</v>
      </c>
      <c r="D103" s="35">
        <v>7716</v>
      </c>
      <c r="E103" s="32">
        <v>7253</v>
      </c>
      <c r="F103" s="32">
        <v>7037</v>
      </c>
      <c r="G103" s="32">
        <v>7657</v>
      </c>
      <c r="H103" s="32">
        <v>7210</v>
      </c>
      <c r="I103" s="32">
        <v>7298</v>
      </c>
      <c r="J103" s="32">
        <v>7262</v>
      </c>
      <c r="K103" s="32">
        <v>7344</v>
      </c>
      <c r="L103" s="32">
        <v>7500</v>
      </c>
      <c r="M103" s="32">
        <v>7272</v>
      </c>
      <c r="N103" s="32">
        <v>7762</v>
      </c>
      <c r="O103" s="32">
        <v>7693</v>
      </c>
      <c r="P103" s="32">
        <v>7119</v>
      </c>
      <c r="Q103" s="32">
        <v>7885</v>
      </c>
      <c r="R103" s="32">
        <v>7281</v>
      </c>
      <c r="S103" s="32">
        <v>7206</v>
      </c>
      <c r="T103" s="32">
        <v>7898</v>
      </c>
      <c r="U103" s="32">
        <v>7610</v>
      </c>
      <c r="V103" s="32">
        <v>7891</v>
      </c>
      <c r="W103" s="32">
        <v>7782</v>
      </c>
      <c r="X103" s="32">
        <v>7112</v>
      </c>
      <c r="Y103" s="32">
        <v>7870</v>
      </c>
      <c r="Z103" s="32">
        <v>7731</v>
      </c>
      <c r="AA103" s="32">
        <v>7784</v>
      </c>
      <c r="AB103" s="32">
        <v>7601</v>
      </c>
      <c r="AC103" s="32">
        <v>7079</v>
      </c>
      <c r="AD103" s="32">
        <v>7542</v>
      </c>
      <c r="AE103" s="32">
        <v>7026</v>
      </c>
      <c r="AF103" s="32">
        <v>7634</v>
      </c>
      <c r="AG103" s="32">
        <v>7866</v>
      </c>
      <c r="AH103" s="32">
        <v>7725</v>
      </c>
      <c r="AI103" s="32">
        <v>7314</v>
      </c>
      <c r="AJ103" s="32">
        <v>7886</v>
      </c>
      <c r="AK103" s="32">
        <v>7139</v>
      </c>
      <c r="AL103" s="32">
        <v>7766</v>
      </c>
      <c r="AM103" s="32">
        <v>7892</v>
      </c>
      <c r="AN103" s="32">
        <v>7126</v>
      </c>
      <c r="AO103" s="32">
        <v>7377</v>
      </c>
      <c r="AP103" s="32">
        <v>7087</v>
      </c>
      <c r="AQ103" s="32">
        <v>7716</v>
      </c>
      <c r="AR103" s="116">
        <f t="shared" ref="AQ103:AR105" ca="1" si="27">RANDBETWEEN(7000,8000)</f>
        <v>7573</v>
      </c>
    </row>
    <row r="104" spans="1:44" x14ac:dyDescent="0.35">
      <c r="A104" t="s">
        <v>22</v>
      </c>
      <c r="B104" t="s">
        <v>26</v>
      </c>
      <c r="C104" s="36" t="str">
        <f t="shared" si="16"/>
        <v>ROK20</v>
      </c>
      <c r="D104" s="35">
        <v>7986</v>
      </c>
      <c r="E104" s="32">
        <v>7222</v>
      </c>
      <c r="F104" s="32">
        <v>7865</v>
      </c>
      <c r="G104" s="32">
        <v>7876</v>
      </c>
      <c r="H104" s="32">
        <v>7932</v>
      </c>
      <c r="I104" s="32">
        <v>7484</v>
      </c>
      <c r="J104" s="32">
        <v>7168</v>
      </c>
      <c r="K104" s="32">
        <v>7408</v>
      </c>
      <c r="L104" s="32">
        <v>7294</v>
      </c>
      <c r="M104" s="32">
        <v>7290</v>
      </c>
      <c r="N104" s="32">
        <v>7644</v>
      </c>
      <c r="O104" s="32">
        <v>7901</v>
      </c>
      <c r="P104" s="32">
        <v>7509</v>
      </c>
      <c r="Q104" s="32">
        <v>7614</v>
      </c>
      <c r="R104" s="32">
        <v>7530</v>
      </c>
      <c r="S104" s="32">
        <v>7426</v>
      </c>
      <c r="T104" s="32">
        <v>7973</v>
      </c>
      <c r="U104" s="32">
        <v>7165</v>
      </c>
      <c r="V104" s="32">
        <v>7567</v>
      </c>
      <c r="W104" s="32">
        <v>7867</v>
      </c>
      <c r="X104" s="32">
        <v>7073</v>
      </c>
      <c r="Y104" s="32">
        <v>7361</v>
      </c>
      <c r="Z104" s="32">
        <v>7010</v>
      </c>
      <c r="AA104" s="32">
        <v>7070</v>
      </c>
      <c r="AB104" s="32">
        <v>7799</v>
      </c>
      <c r="AC104" s="32">
        <v>7026</v>
      </c>
      <c r="AD104" s="32">
        <v>7614</v>
      </c>
      <c r="AE104" s="32">
        <v>7046</v>
      </c>
      <c r="AF104" s="32">
        <v>7000</v>
      </c>
      <c r="AG104" s="32">
        <v>7643</v>
      </c>
      <c r="AH104" s="32">
        <v>7348</v>
      </c>
      <c r="AI104" s="32">
        <v>7063</v>
      </c>
      <c r="AJ104" s="32">
        <v>7041</v>
      </c>
      <c r="AK104" s="32">
        <v>7392</v>
      </c>
      <c r="AL104" s="32">
        <v>7750</v>
      </c>
      <c r="AM104" s="32">
        <v>7897</v>
      </c>
      <c r="AN104" s="32">
        <v>7745</v>
      </c>
      <c r="AO104" s="32">
        <v>7887</v>
      </c>
      <c r="AP104" s="32">
        <v>7180</v>
      </c>
      <c r="AQ104" s="32">
        <v>7986</v>
      </c>
      <c r="AR104" s="116">
        <f t="shared" ca="1" si="27"/>
        <v>7613</v>
      </c>
    </row>
    <row r="105" spans="1:44" x14ac:dyDescent="0.35">
      <c r="A105" t="s">
        <v>22</v>
      </c>
      <c r="B105" t="s">
        <v>38</v>
      </c>
      <c r="C105" s="36" t="str">
        <f t="shared" si="16"/>
        <v>ROU20</v>
      </c>
      <c r="D105" s="35">
        <v>7726</v>
      </c>
      <c r="E105" s="32">
        <v>7844</v>
      </c>
      <c r="F105" s="32">
        <v>7142</v>
      </c>
      <c r="G105" s="32">
        <v>7578</v>
      </c>
      <c r="H105" s="32">
        <v>7365</v>
      </c>
      <c r="I105" s="32">
        <v>7108</v>
      </c>
      <c r="J105" s="32">
        <v>7218</v>
      </c>
      <c r="K105" s="32">
        <v>7623</v>
      </c>
      <c r="L105" s="32">
        <v>7803</v>
      </c>
      <c r="M105" s="32">
        <v>7634</v>
      </c>
      <c r="N105" s="32">
        <v>7782</v>
      </c>
      <c r="O105" s="32">
        <v>7607</v>
      </c>
      <c r="P105" s="32">
        <v>7310</v>
      </c>
      <c r="Q105" s="32">
        <v>7513</v>
      </c>
      <c r="R105" s="32">
        <v>7438</v>
      </c>
      <c r="S105" s="32">
        <v>7745</v>
      </c>
      <c r="T105" s="32">
        <v>7562</v>
      </c>
      <c r="U105" s="32">
        <v>7750</v>
      </c>
      <c r="V105" s="32">
        <v>7579</v>
      </c>
      <c r="W105" s="32">
        <v>7430</v>
      </c>
      <c r="X105" s="32">
        <v>7855</v>
      </c>
      <c r="Y105" s="32">
        <v>7443</v>
      </c>
      <c r="Z105" s="32">
        <v>7943</v>
      </c>
      <c r="AA105" s="32">
        <v>7714</v>
      </c>
      <c r="AB105" s="32">
        <v>7615</v>
      </c>
      <c r="AC105" s="32">
        <v>7534</v>
      </c>
      <c r="AD105" s="32">
        <v>7377</v>
      </c>
      <c r="AE105" s="32">
        <v>7707</v>
      </c>
      <c r="AF105" s="32">
        <v>7322</v>
      </c>
      <c r="AG105" s="32">
        <v>7449</v>
      </c>
      <c r="AH105" s="32">
        <v>7282</v>
      </c>
      <c r="AI105" s="32">
        <v>7409</v>
      </c>
      <c r="AJ105" s="32">
        <v>7175</v>
      </c>
      <c r="AK105" s="32">
        <v>7778</v>
      </c>
      <c r="AL105" s="32">
        <v>7386</v>
      </c>
      <c r="AM105" s="32">
        <v>7711</v>
      </c>
      <c r="AN105" s="32">
        <v>7608</v>
      </c>
      <c r="AO105" s="32">
        <v>7001</v>
      </c>
      <c r="AP105" s="32">
        <v>7183</v>
      </c>
      <c r="AQ105" s="32">
        <v>7726</v>
      </c>
      <c r="AR105" s="116">
        <f t="shared" ca="1" si="27"/>
        <v>7753</v>
      </c>
    </row>
    <row r="106" spans="1:44" x14ac:dyDescent="0.35">
      <c r="A106" t="s">
        <v>139</v>
      </c>
      <c r="B106" t="s">
        <v>51</v>
      </c>
      <c r="C106" s="36" t="str">
        <f t="shared" si="16"/>
        <v>RMF21</v>
      </c>
      <c r="D106" s="35">
        <v>2805</v>
      </c>
      <c r="E106" s="26">
        <v>3306</v>
      </c>
      <c r="F106" s="26">
        <v>3272</v>
      </c>
      <c r="G106" s="26">
        <v>3369</v>
      </c>
      <c r="H106" s="26">
        <v>2515</v>
      </c>
      <c r="I106" s="26">
        <v>3406</v>
      </c>
      <c r="J106" s="26">
        <v>3150</v>
      </c>
      <c r="K106" s="26">
        <v>3404</v>
      </c>
      <c r="L106" s="26">
        <v>2724</v>
      </c>
      <c r="M106" s="26">
        <v>3323</v>
      </c>
      <c r="N106" s="26">
        <v>2780</v>
      </c>
      <c r="O106" s="26">
        <v>2631</v>
      </c>
      <c r="P106" s="26">
        <v>3309</v>
      </c>
      <c r="Q106" s="26">
        <v>2919</v>
      </c>
      <c r="R106" s="26">
        <v>2809</v>
      </c>
      <c r="S106" s="26">
        <v>2886</v>
      </c>
      <c r="T106" s="26">
        <v>3051</v>
      </c>
      <c r="U106" s="26">
        <v>2514</v>
      </c>
      <c r="V106" s="26">
        <v>3424</v>
      </c>
      <c r="W106" s="26">
        <v>2602</v>
      </c>
      <c r="X106" s="26">
        <v>2604</v>
      </c>
      <c r="Y106" s="26">
        <v>2654</v>
      </c>
      <c r="Z106" s="26">
        <v>3051</v>
      </c>
      <c r="AA106" s="26">
        <v>3459</v>
      </c>
      <c r="AB106" s="26">
        <v>3309</v>
      </c>
      <c r="AC106" s="26">
        <v>2604</v>
      </c>
      <c r="AD106" s="26">
        <v>2860</v>
      </c>
      <c r="AE106" s="26">
        <v>2905</v>
      </c>
      <c r="AF106" s="26">
        <v>3039</v>
      </c>
      <c r="AG106" s="26">
        <v>2696</v>
      </c>
      <c r="AH106" s="26">
        <v>2512</v>
      </c>
      <c r="AI106" s="26">
        <v>3485</v>
      </c>
      <c r="AJ106" s="26">
        <v>2962</v>
      </c>
      <c r="AK106" s="26">
        <v>3239</v>
      </c>
      <c r="AL106" s="26">
        <v>3140</v>
      </c>
      <c r="AM106" s="26">
        <v>2595</v>
      </c>
      <c r="AN106" s="26">
        <v>2893</v>
      </c>
      <c r="AO106" s="26">
        <v>3220</v>
      </c>
      <c r="AP106" s="26">
        <v>2635</v>
      </c>
      <c r="AQ106" s="26">
        <v>2805</v>
      </c>
      <c r="AR106" s="118">
        <f t="shared" ref="AQ106:AR108" ca="1" si="28">RANDBETWEEN(2500,3500)</f>
        <v>2663</v>
      </c>
    </row>
    <row r="107" spans="1:44" x14ac:dyDescent="0.35">
      <c r="A107" t="s">
        <v>139</v>
      </c>
      <c r="B107" t="s">
        <v>26</v>
      </c>
      <c r="C107" s="36" t="str">
        <f t="shared" si="16"/>
        <v>RMK20</v>
      </c>
      <c r="D107" s="35">
        <v>2884</v>
      </c>
      <c r="E107" s="26">
        <v>3099</v>
      </c>
      <c r="F107" s="26">
        <v>2979</v>
      </c>
      <c r="G107" s="26">
        <v>3008</v>
      </c>
      <c r="H107" s="26">
        <v>2842</v>
      </c>
      <c r="I107" s="26">
        <v>2917</v>
      </c>
      <c r="J107" s="26">
        <v>3206</v>
      </c>
      <c r="K107" s="26">
        <v>3345</v>
      </c>
      <c r="L107" s="26">
        <v>2532</v>
      </c>
      <c r="M107" s="26">
        <v>3465</v>
      </c>
      <c r="N107" s="26">
        <v>3067</v>
      </c>
      <c r="O107" s="26">
        <v>2960</v>
      </c>
      <c r="P107" s="26">
        <v>2761</v>
      </c>
      <c r="Q107" s="26">
        <v>3336</v>
      </c>
      <c r="R107" s="26">
        <v>2832</v>
      </c>
      <c r="S107" s="26">
        <v>2702</v>
      </c>
      <c r="T107" s="26">
        <v>2816</v>
      </c>
      <c r="U107" s="26">
        <v>3383</v>
      </c>
      <c r="V107" s="26">
        <v>2717</v>
      </c>
      <c r="W107" s="26">
        <v>2856</v>
      </c>
      <c r="X107" s="26">
        <v>3166</v>
      </c>
      <c r="Y107" s="26">
        <v>3430</v>
      </c>
      <c r="Z107" s="26">
        <v>3264</v>
      </c>
      <c r="AA107" s="26">
        <v>2705</v>
      </c>
      <c r="AB107" s="26">
        <v>3194</v>
      </c>
      <c r="AC107" s="26">
        <v>3320</v>
      </c>
      <c r="AD107" s="26">
        <v>3287</v>
      </c>
      <c r="AE107" s="26">
        <v>3227</v>
      </c>
      <c r="AF107" s="26">
        <v>2876</v>
      </c>
      <c r="AG107" s="26">
        <v>3421</v>
      </c>
      <c r="AH107" s="26">
        <v>3036</v>
      </c>
      <c r="AI107" s="26">
        <v>3032</v>
      </c>
      <c r="AJ107" s="26">
        <v>3446</v>
      </c>
      <c r="AK107" s="26">
        <v>2770</v>
      </c>
      <c r="AL107" s="26">
        <v>3086</v>
      </c>
      <c r="AM107" s="26">
        <v>2582</v>
      </c>
      <c r="AN107" s="26">
        <v>3200</v>
      </c>
      <c r="AO107" s="26">
        <v>3270</v>
      </c>
      <c r="AP107" s="26">
        <v>3070</v>
      </c>
      <c r="AQ107" s="26">
        <v>2884</v>
      </c>
      <c r="AR107" s="118">
        <f t="shared" ca="1" si="28"/>
        <v>2723</v>
      </c>
    </row>
    <row r="108" spans="1:44" x14ac:dyDescent="0.35">
      <c r="A108" t="s">
        <v>139</v>
      </c>
      <c r="B108" t="s">
        <v>38</v>
      </c>
      <c r="C108" s="36" t="str">
        <f t="shared" si="16"/>
        <v>RMU20</v>
      </c>
      <c r="D108" s="35">
        <v>2824</v>
      </c>
      <c r="E108" s="26">
        <v>3462</v>
      </c>
      <c r="F108" s="26">
        <v>3065</v>
      </c>
      <c r="G108" s="26">
        <v>3318</v>
      </c>
      <c r="H108" s="26">
        <v>3130</v>
      </c>
      <c r="I108" s="26">
        <v>3178</v>
      </c>
      <c r="J108" s="26">
        <v>2544</v>
      </c>
      <c r="K108" s="26">
        <v>3238</v>
      </c>
      <c r="L108" s="26">
        <v>3249</v>
      </c>
      <c r="M108" s="26">
        <v>3239</v>
      </c>
      <c r="N108" s="26">
        <v>2590</v>
      </c>
      <c r="O108" s="26">
        <v>3210</v>
      </c>
      <c r="P108" s="26">
        <v>3464</v>
      </c>
      <c r="Q108" s="26">
        <v>3221</v>
      </c>
      <c r="R108" s="26">
        <v>2536</v>
      </c>
      <c r="S108" s="26">
        <v>3322</v>
      </c>
      <c r="T108" s="26">
        <v>2760</v>
      </c>
      <c r="U108" s="26">
        <v>3099</v>
      </c>
      <c r="V108" s="26">
        <v>3100</v>
      </c>
      <c r="W108" s="26">
        <v>3192</v>
      </c>
      <c r="X108" s="26">
        <v>2823</v>
      </c>
      <c r="Y108" s="26">
        <v>3242</v>
      </c>
      <c r="Z108" s="26">
        <v>2831</v>
      </c>
      <c r="AA108" s="26">
        <v>2715</v>
      </c>
      <c r="AB108" s="26">
        <v>3300</v>
      </c>
      <c r="AC108" s="26">
        <v>3393</v>
      </c>
      <c r="AD108" s="26">
        <v>2605</v>
      </c>
      <c r="AE108" s="26">
        <v>2820</v>
      </c>
      <c r="AF108" s="26">
        <v>2725</v>
      </c>
      <c r="AG108" s="26">
        <v>3118</v>
      </c>
      <c r="AH108" s="26">
        <v>3418</v>
      </c>
      <c r="AI108" s="26">
        <v>2719</v>
      </c>
      <c r="AJ108" s="26">
        <v>2658</v>
      </c>
      <c r="AK108" s="26">
        <v>3341</v>
      </c>
      <c r="AL108" s="26">
        <v>3338</v>
      </c>
      <c r="AM108" s="26">
        <v>3087</v>
      </c>
      <c r="AN108" s="26">
        <v>3061</v>
      </c>
      <c r="AO108" s="26">
        <v>3234</v>
      </c>
      <c r="AP108" s="26">
        <v>3209</v>
      </c>
      <c r="AQ108" s="26">
        <v>2824</v>
      </c>
      <c r="AR108" s="118">
        <f t="shared" ca="1" si="28"/>
        <v>2592</v>
      </c>
    </row>
    <row r="109" spans="1:44" x14ac:dyDescent="0.35">
      <c r="A109" t="s">
        <v>27</v>
      </c>
      <c r="B109" t="s">
        <v>51</v>
      </c>
      <c r="C109" s="36" t="str">
        <f t="shared" si="16"/>
        <v>DSF21</v>
      </c>
      <c r="D109" s="35">
        <v>2936</v>
      </c>
      <c r="E109" s="26">
        <v>2786</v>
      </c>
      <c r="F109" s="26">
        <v>2766</v>
      </c>
      <c r="G109" s="26">
        <v>2868</v>
      </c>
      <c r="H109" s="26">
        <v>2866</v>
      </c>
      <c r="I109" s="26">
        <v>2927</v>
      </c>
      <c r="J109" s="26">
        <v>2692</v>
      </c>
      <c r="K109" s="26">
        <v>2553</v>
      </c>
      <c r="L109" s="26">
        <v>2703</v>
      </c>
      <c r="M109" s="26">
        <v>2582</v>
      </c>
      <c r="N109" s="26">
        <v>2781</v>
      </c>
      <c r="O109" s="26">
        <v>2650</v>
      </c>
      <c r="P109" s="26">
        <v>2979</v>
      </c>
      <c r="Q109" s="26">
        <v>2745</v>
      </c>
      <c r="R109" s="26">
        <v>2995</v>
      </c>
      <c r="S109" s="26">
        <v>2621</v>
      </c>
      <c r="T109" s="26">
        <v>2748</v>
      </c>
      <c r="U109" s="26">
        <v>2627</v>
      </c>
      <c r="V109" s="26">
        <v>2650</v>
      </c>
      <c r="W109" s="26">
        <v>2896</v>
      </c>
      <c r="X109" s="26">
        <v>2841</v>
      </c>
      <c r="Y109" s="26">
        <v>2915</v>
      </c>
      <c r="Z109" s="26">
        <v>2873</v>
      </c>
      <c r="AA109" s="26">
        <v>2795</v>
      </c>
      <c r="AB109" s="26">
        <v>2870</v>
      </c>
      <c r="AC109" s="26">
        <v>2672</v>
      </c>
      <c r="AD109" s="26">
        <v>2664</v>
      </c>
      <c r="AE109" s="26">
        <v>2502</v>
      </c>
      <c r="AF109" s="26">
        <v>2540</v>
      </c>
      <c r="AG109" s="26">
        <v>2686</v>
      </c>
      <c r="AH109" s="26">
        <v>2543</v>
      </c>
      <c r="AI109" s="26">
        <v>2709</v>
      </c>
      <c r="AJ109" s="26">
        <v>2713</v>
      </c>
      <c r="AK109" s="26">
        <v>2701</v>
      </c>
      <c r="AL109" s="26">
        <v>2685</v>
      </c>
      <c r="AM109" s="26">
        <v>2512</v>
      </c>
      <c r="AN109" s="26">
        <v>2743</v>
      </c>
      <c r="AO109" s="26">
        <v>2732</v>
      </c>
      <c r="AP109" s="26">
        <v>2744</v>
      </c>
      <c r="AQ109" s="26">
        <v>2936</v>
      </c>
      <c r="AR109" s="118">
        <f t="shared" ref="AQ109:AR111" ca="1" si="29">RANDBETWEEN(2500,3000)</f>
        <v>2515</v>
      </c>
    </row>
    <row r="110" spans="1:44" x14ac:dyDescent="0.35">
      <c r="A110" t="s">
        <v>27</v>
      </c>
      <c r="B110" t="s">
        <v>26</v>
      </c>
      <c r="C110" s="36" t="str">
        <f t="shared" si="16"/>
        <v>DSK20</v>
      </c>
      <c r="D110" s="35">
        <v>2655</v>
      </c>
      <c r="E110" s="26">
        <v>2803</v>
      </c>
      <c r="F110" s="26">
        <v>2685</v>
      </c>
      <c r="G110" s="26">
        <v>2888</v>
      </c>
      <c r="H110" s="26">
        <v>2673</v>
      </c>
      <c r="I110" s="26">
        <v>2965</v>
      </c>
      <c r="J110" s="26">
        <v>2995</v>
      </c>
      <c r="K110" s="26">
        <v>2786</v>
      </c>
      <c r="L110" s="26">
        <v>2836</v>
      </c>
      <c r="M110" s="26">
        <v>2699</v>
      </c>
      <c r="N110" s="26">
        <v>2682</v>
      </c>
      <c r="O110" s="26">
        <v>2699</v>
      </c>
      <c r="P110" s="26">
        <v>2743</v>
      </c>
      <c r="Q110" s="26">
        <v>2616</v>
      </c>
      <c r="R110" s="26">
        <v>2512</v>
      </c>
      <c r="S110" s="26">
        <v>2774</v>
      </c>
      <c r="T110" s="26">
        <v>2542</v>
      </c>
      <c r="U110" s="26">
        <v>2669</v>
      </c>
      <c r="V110" s="26">
        <v>2577</v>
      </c>
      <c r="W110" s="26">
        <v>2521</v>
      </c>
      <c r="X110" s="26">
        <v>2893</v>
      </c>
      <c r="Y110" s="26">
        <v>3000</v>
      </c>
      <c r="Z110" s="26">
        <v>2862</v>
      </c>
      <c r="AA110" s="26">
        <v>2676</v>
      </c>
      <c r="AB110" s="26">
        <v>2599</v>
      </c>
      <c r="AC110" s="26">
        <v>2769</v>
      </c>
      <c r="AD110" s="26">
        <v>2581</v>
      </c>
      <c r="AE110" s="26">
        <v>2884</v>
      </c>
      <c r="AF110" s="26">
        <v>2984</v>
      </c>
      <c r="AG110" s="26">
        <v>2852</v>
      </c>
      <c r="AH110" s="26">
        <v>2713</v>
      </c>
      <c r="AI110" s="26">
        <v>2782</v>
      </c>
      <c r="AJ110" s="26">
        <v>2967</v>
      </c>
      <c r="AK110" s="26">
        <v>2537</v>
      </c>
      <c r="AL110" s="26">
        <v>2774</v>
      </c>
      <c r="AM110" s="26">
        <v>2672</v>
      </c>
      <c r="AN110" s="26">
        <v>2594</v>
      </c>
      <c r="AO110" s="26">
        <v>2725</v>
      </c>
      <c r="AP110" s="26">
        <v>2811</v>
      </c>
      <c r="AQ110" s="26">
        <v>2655</v>
      </c>
      <c r="AR110" s="118">
        <f t="shared" ca="1" si="29"/>
        <v>2908</v>
      </c>
    </row>
    <row r="111" spans="1:44" x14ac:dyDescent="0.35">
      <c r="A111" t="s">
        <v>27</v>
      </c>
      <c r="B111" t="s">
        <v>38</v>
      </c>
      <c r="C111" s="36" t="str">
        <f t="shared" si="16"/>
        <v>DSU20</v>
      </c>
      <c r="D111" s="35">
        <v>2664</v>
      </c>
      <c r="E111" s="26">
        <v>2574</v>
      </c>
      <c r="F111" s="26">
        <v>2872</v>
      </c>
      <c r="G111" s="26">
        <v>2511</v>
      </c>
      <c r="H111" s="26">
        <v>2920</v>
      </c>
      <c r="I111" s="26">
        <v>2710</v>
      </c>
      <c r="J111" s="26">
        <v>2862</v>
      </c>
      <c r="K111" s="26">
        <v>2580</v>
      </c>
      <c r="L111" s="26">
        <v>2647</v>
      </c>
      <c r="M111" s="26">
        <v>2712</v>
      </c>
      <c r="N111" s="26">
        <v>2701</v>
      </c>
      <c r="O111" s="26">
        <v>2888</v>
      </c>
      <c r="P111" s="26">
        <v>2599</v>
      </c>
      <c r="Q111" s="26">
        <v>2725</v>
      </c>
      <c r="R111" s="26">
        <v>2684</v>
      </c>
      <c r="S111" s="26">
        <v>2753</v>
      </c>
      <c r="T111" s="26">
        <v>2871</v>
      </c>
      <c r="U111" s="26">
        <v>2871</v>
      </c>
      <c r="V111" s="26">
        <v>2549</v>
      </c>
      <c r="W111" s="26">
        <v>2571</v>
      </c>
      <c r="X111" s="26">
        <v>2837</v>
      </c>
      <c r="Y111" s="26">
        <v>2551</v>
      </c>
      <c r="Z111" s="26">
        <v>2669</v>
      </c>
      <c r="AA111" s="26">
        <v>2725</v>
      </c>
      <c r="AB111" s="26">
        <v>2686</v>
      </c>
      <c r="AC111" s="26">
        <v>2717</v>
      </c>
      <c r="AD111" s="26">
        <v>2704</v>
      </c>
      <c r="AE111" s="26">
        <v>2916</v>
      </c>
      <c r="AF111" s="26">
        <v>2980</v>
      </c>
      <c r="AG111" s="26">
        <v>2687</v>
      </c>
      <c r="AH111" s="26">
        <v>2875</v>
      </c>
      <c r="AI111" s="26">
        <v>2773</v>
      </c>
      <c r="AJ111" s="26">
        <v>2665</v>
      </c>
      <c r="AK111" s="26">
        <v>2958</v>
      </c>
      <c r="AL111" s="26">
        <v>2975</v>
      </c>
      <c r="AM111" s="26">
        <v>2780</v>
      </c>
      <c r="AN111" s="26">
        <v>2721</v>
      </c>
      <c r="AO111" s="26">
        <v>2673</v>
      </c>
      <c r="AP111" s="26">
        <v>2579</v>
      </c>
      <c r="AQ111" s="26">
        <v>2664</v>
      </c>
      <c r="AR111" s="118">
        <f t="shared" ca="1" si="29"/>
        <v>2826</v>
      </c>
    </row>
    <row r="112" spans="1:44" x14ac:dyDescent="0.35">
      <c r="A112" t="s">
        <v>135</v>
      </c>
      <c r="B112" t="s">
        <v>51</v>
      </c>
      <c r="C112" s="36" t="str">
        <f t="shared" si="16"/>
        <v>DBF21</v>
      </c>
      <c r="D112" s="35">
        <v>6042</v>
      </c>
      <c r="E112" s="26">
        <v>5918</v>
      </c>
      <c r="F112" s="26">
        <v>6452</v>
      </c>
      <c r="G112" s="26">
        <v>6336</v>
      </c>
      <c r="H112" s="26">
        <v>5472</v>
      </c>
      <c r="I112" s="26">
        <v>6406</v>
      </c>
      <c r="J112" s="26">
        <v>6149</v>
      </c>
      <c r="K112" s="26">
        <v>5395</v>
      </c>
      <c r="L112" s="26">
        <v>6386</v>
      </c>
      <c r="M112" s="26">
        <v>5922</v>
      </c>
      <c r="N112" s="26">
        <v>5349</v>
      </c>
      <c r="O112" s="26">
        <v>5579</v>
      </c>
      <c r="P112" s="26">
        <v>5376</v>
      </c>
      <c r="Q112" s="26">
        <v>6157</v>
      </c>
      <c r="R112" s="26">
        <v>5945</v>
      </c>
      <c r="S112" s="26">
        <v>6206</v>
      </c>
      <c r="T112" s="26">
        <v>5019</v>
      </c>
      <c r="U112" s="26">
        <v>5145</v>
      </c>
      <c r="V112" s="26">
        <v>6029</v>
      </c>
      <c r="W112" s="26">
        <v>5706</v>
      </c>
      <c r="X112" s="26">
        <v>6302</v>
      </c>
      <c r="Y112" s="26">
        <v>5019</v>
      </c>
      <c r="Z112" s="26">
        <v>6394</v>
      </c>
      <c r="AA112" s="26">
        <v>5662</v>
      </c>
      <c r="AB112" s="26">
        <v>5486</v>
      </c>
      <c r="AC112" s="26">
        <v>5835</v>
      </c>
      <c r="AD112" s="26">
        <v>5233</v>
      </c>
      <c r="AE112" s="26">
        <v>6426</v>
      </c>
      <c r="AF112" s="26">
        <v>5061</v>
      </c>
      <c r="AG112" s="26">
        <v>6314</v>
      </c>
      <c r="AH112" s="26">
        <v>6292</v>
      </c>
      <c r="AI112" s="26">
        <v>5309</v>
      </c>
      <c r="AJ112" s="26">
        <v>5383</v>
      </c>
      <c r="AK112" s="26">
        <v>5987</v>
      </c>
      <c r="AL112" s="26">
        <v>5888</v>
      </c>
      <c r="AM112" s="26">
        <v>5919</v>
      </c>
      <c r="AN112" s="26">
        <v>5792</v>
      </c>
      <c r="AO112" s="26">
        <v>5901</v>
      </c>
      <c r="AP112" s="26">
        <v>5301</v>
      </c>
      <c r="AQ112" s="26">
        <v>6042</v>
      </c>
      <c r="AR112" s="118">
        <f t="shared" ref="AQ112:AR114" ca="1" si="30">RANDBETWEEN(5000,6500)</f>
        <v>5448</v>
      </c>
    </row>
    <row r="113" spans="1:44" x14ac:dyDescent="0.35">
      <c r="A113" t="s">
        <v>135</v>
      </c>
      <c r="B113" t="s">
        <v>26</v>
      </c>
      <c r="C113" s="36" t="str">
        <f t="shared" si="16"/>
        <v>DBK20</v>
      </c>
      <c r="D113" s="35">
        <v>5120</v>
      </c>
      <c r="E113" s="26">
        <v>5641</v>
      </c>
      <c r="F113" s="26">
        <v>5260</v>
      </c>
      <c r="G113" s="26">
        <v>5697</v>
      </c>
      <c r="H113" s="26">
        <v>5438</v>
      </c>
      <c r="I113" s="26">
        <v>5814</v>
      </c>
      <c r="J113" s="26">
        <v>5619</v>
      </c>
      <c r="K113" s="26">
        <v>5841</v>
      </c>
      <c r="L113" s="26">
        <v>6150</v>
      </c>
      <c r="M113" s="26">
        <v>5968</v>
      </c>
      <c r="N113" s="26">
        <v>5991</v>
      </c>
      <c r="O113" s="26">
        <v>5194</v>
      </c>
      <c r="P113" s="26">
        <v>6128</v>
      </c>
      <c r="Q113" s="26">
        <v>5132</v>
      </c>
      <c r="R113" s="26">
        <v>6417</v>
      </c>
      <c r="S113" s="26">
        <v>5704</v>
      </c>
      <c r="T113" s="26">
        <v>5311</v>
      </c>
      <c r="U113" s="26">
        <v>5909</v>
      </c>
      <c r="V113" s="26">
        <v>6219</v>
      </c>
      <c r="W113" s="26">
        <v>5897</v>
      </c>
      <c r="X113" s="26">
        <v>5935</v>
      </c>
      <c r="Y113" s="26">
        <v>6259</v>
      </c>
      <c r="Z113" s="26">
        <v>5713</v>
      </c>
      <c r="AA113" s="26">
        <v>6134</v>
      </c>
      <c r="AB113" s="26">
        <v>5986</v>
      </c>
      <c r="AC113" s="26">
        <v>5862</v>
      </c>
      <c r="AD113" s="26">
        <v>5462</v>
      </c>
      <c r="AE113" s="26">
        <v>5777</v>
      </c>
      <c r="AF113" s="26">
        <v>6499</v>
      </c>
      <c r="AG113" s="26">
        <v>5281</v>
      </c>
      <c r="AH113" s="26">
        <v>6410</v>
      </c>
      <c r="AI113" s="26">
        <v>6336</v>
      </c>
      <c r="AJ113" s="26">
        <v>6453</v>
      </c>
      <c r="AK113" s="26">
        <v>5053</v>
      </c>
      <c r="AL113" s="26">
        <v>5731</v>
      </c>
      <c r="AM113" s="26">
        <v>6450</v>
      </c>
      <c r="AN113" s="26">
        <v>5544</v>
      </c>
      <c r="AO113" s="26">
        <v>5942</v>
      </c>
      <c r="AP113" s="26">
        <v>6120</v>
      </c>
      <c r="AQ113" s="26">
        <v>5120</v>
      </c>
      <c r="AR113" s="118">
        <f t="shared" ca="1" si="30"/>
        <v>5245</v>
      </c>
    </row>
    <row r="114" spans="1:44" x14ac:dyDescent="0.35">
      <c r="A114" t="s">
        <v>135</v>
      </c>
      <c r="B114" t="s">
        <v>38</v>
      </c>
      <c r="C114" s="36" t="str">
        <f t="shared" si="16"/>
        <v>DBU20</v>
      </c>
      <c r="D114" s="35">
        <v>5379</v>
      </c>
      <c r="E114" s="26">
        <v>6439</v>
      </c>
      <c r="F114" s="26">
        <v>6260</v>
      </c>
      <c r="G114" s="26">
        <v>5286</v>
      </c>
      <c r="H114" s="26">
        <v>6040</v>
      </c>
      <c r="I114" s="26">
        <v>5078</v>
      </c>
      <c r="J114" s="26">
        <v>5087</v>
      </c>
      <c r="K114" s="26">
        <v>6044</v>
      </c>
      <c r="L114" s="26">
        <v>6119</v>
      </c>
      <c r="M114" s="26">
        <v>6345</v>
      </c>
      <c r="N114" s="26">
        <v>6338</v>
      </c>
      <c r="O114" s="26">
        <v>6348</v>
      </c>
      <c r="P114" s="26">
        <v>5442</v>
      </c>
      <c r="Q114" s="26">
        <v>5600</v>
      </c>
      <c r="R114" s="26">
        <v>5509</v>
      </c>
      <c r="S114" s="26">
        <v>5727</v>
      </c>
      <c r="T114" s="26">
        <v>5910</v>
      </c>
      <c r="U114" s="26">
        <v>5834</v>
      </c>
      <c r="V114" s="26">
        <v>5809</v>
      </c>
      <c r="W114" s="26">
        <v>5359</v>
      </c>
      <c r="X114" s="26">
        <v>5169</v>
      </c>
      <c r="Y114" s="26">
        <v>6298</v>
      </c>
      <c r="Z114" s="26">
        <v>5241</v>
      </c>
      <c r="AA114" s="26">
        <v>6248</v>
      </c>
      <c r="AB114" s="26">
        <v>5163</v>
      </c>
      <c r="AC114" s="26">
        <v>5829</v>
      </c>
      <c r="AD114" s="26">
        <v>5327</v>
      </c>
      <c r="AE114" s="26">
        <v>5164</v>
      </c>
      <c r="AF114" s="26">
        <v>5638</v>
      </c>
      <c r="AG114" s="26">
        <v>5533</v>
      </c>
      <c r="AH114" s="26">
        <v>6357</v>
      </c>
      <c r="AI114" s="26">
        <v>5987</v>
      </c>
      <c r="AJ114" s="26">
        <v>5807</v>
      </c>
      <c r="AK114" s="26">
        <v>5728</v>
      </c>
      <c r="AL114" s="26">
        <v>5453</v>
      </c>
      <c r="AM114" s="26">
        <v>6126</v>
      </c>
      <c r="AN114" s="26">
        <v>6234</v>
      </c>
      <c r="AO114" s="26">
        <v>5853</v>
      </c>
      <c r="AP114" s="26">
        <v>6373</v>
      </c>
      <c r="AQ114" s="26">
        <v>5379</v>
      </c>
      <c r="AR114" s="118">
        <f t="shared" ca="1" si="30"/>
        <v>6135</v>
      </c>
    </row>
    <row r="115" spans="1:44" x14ac:dyDescent="0.35">
      <c r="A115" t="s">
        <v>178</v>
      </c>
      <c r="B115" t="s">
        <v>51</v>
      </c>
      <c r="C115" s="36" t="str">
        <f t="shared" si="16"/>
        <v>DPF21</v>
      </c>
      <c r="D115" s="35">
        <v>5485</v>
      </c>
      <c r="E115" s="26">
        <v>5112</v>
      </c>
      <c r="F115" s="26">
        <v>5291</v>
      </c>
      <c r="G115" s="26">
        <v>5210</v>
      </c>
      <c r="H115" s="26">
        <v>5478</v>
      </c>
      <c r="I115" s="26">
        <v>5807</v>
      </c>
      <c r="J115" s="26">
        <v>5006</v>
      </c>
      <c r="K115" s="26">
        <v>5104</v>
      </c>
      <c r="L115" s="26">
        <v>5483</v>
      </c>
      <c r="M115" s="26">
        <v>5535</v>
      </c>
      <c r="N115" s="26">
        <v>5104</v>
      </c>
      <c r="O115" s="26">
        <v>5529</v>
      </c>
      <c r="P115" s="26">
        <v>5123</v>
      </c>
      <c r="Q115" s="26">
        <v>5602</v>
      </c>
      <c r="R115" s="26">
        <v>5543</v>
      </c>
      <c r="S115" s="26">
        <v>5633</v>
      </c>
      <c r="T115" s="26">
        <v>5280</v>
      </c>
      <c r="U115" s="26">
        <v>5975</v>
      </c>
      <c r="V115" s="26">
        <v>5794</v>
      </c>
      <c r="W115" s="26">
        <v>5427</v>
      </c>
      <c r="X115" s="26">
        <v>5100</v>
      </c>
      <c r="Y115" s="26">
        <v>5412</v>
      </c>
      <c r="Z115" s="26">
        <v>5276</v>
      </c>
      <c r="AA115" s="26">
        <v>5347</v>
      </c>
      <c r="AB115" s="26">
        <v>5071</v>
      </c>
      <c r="AC115" s="26">
        <v>5936</v>
      </c>
      <c r="AD115" s="26">
        <v>5298</v>
      </c>
      <c r="AE115" s="26">
        <v>5586</v>
      </c>
      <c r="AF115" s="26">
        <v>5243</v>
      </c>
      <c r="AG115" s="26">
        <v>5052</v>
      </c>
      <c r="AH115" s="26">
        <v>5267</v>
      </c>
      <c r="AI115" s="26">
        <v>5331</v>
      </c>
      <c r="AJ115" s="26">
        <v>5043</v>
      </c>
      <c r="AK115" s="26">
        <v>5997</v>
      </c>
      <c r="AL115" s="26">
        <v>5575</v>
      </c>
      <c r="AM115" s="26">
        <v>5228</v>
      </c>
      <c r="AN115" s="26">
        <v>5314</v>
      </c>
      <c r="AO115" s="26">
        <v>5442</v>
      </c>
      <c r="AP115" s="26">
        <v>5443</v>
      </c>
      <c r="AQ115" s="26">
        <v>5485</v>
      </c>
      <c r="AR115" s="118">
        <f t="shared" ref="AQ115:AR117" ca="1" si="31">RANDBETWEEN(5000,6000)</f>
        <v>5071</v>
      </c>
    </row>
    <row r="116" spans="1:44" x14ac:dyDescent="0.35">
      <c r="A116" t="s">
        <v>178</v>
      </c>
      <c r="B116" t="s">
        <v>26</v>
      </c>
      <c r="C116" s="36" t="str">
        <f t="shared" si="16"/>
        <v>DPK20</v>
      </c>
      <c r="D116" s="35">
        <v>5027</v>
      </c>
      <c r="E116" s="26">
        <v>5714</v>
      </c>
      <c r="F116" s="26">
        <v>5663</v>
      </c>
      <c r="G116" s="26">
        <v>5416</v>
      </c>
      <c r="H116" s="26">
        <v>5390</v>
      </c>
      <c r="I116" s="26">
        <v>5180</v>
      </c>
      <c r="J116" s="26">
        <v>5096</v>
      </c>
      <c r="K116" s="26">
        <v>5618</v>
      </c>
      <c r="L116" s="26">
        <v>5308</v>
      </c>
      <c r="M116" s="26">
        <v>5506</v>
      </c>
      <c r="N116" s="26">
        <v>5955</v>
      </c>
      <c r="O116" s="26">
        <v>5308</v>
      </c>
      <c r="P116" s="26">
        <v>5290</v>
      </c>
      <c r="Q116" s="26">
        <v>5111</v>
      </c>
      <c r="R116" s="26">
        <v>5328</v>
      </c>
      <c r="S116" s="26">
        <v>5892</v>
      </c>
      <c r="T116" s="26">
        <v>5300</v>
      </c>
      <c r="U116" s="26">
        <v>5767</v>
      </c>
      <c r="V116" s="26">
        <v>5964</v>
      </c>
      <c r="W116" s="26">
        <v>5606</v>
      </c>
      <c r="X116" s="26">
        <v>5894</v>
      </c>
      <c r="Y116" s="26">
        <v>5728</v>
      </c>
      <c r="Z116" s="26">
        <v>5587</v>
      </c>
      <c r="AA116" s="26">
        <v>5665</v>
      </c>
      <c r="AB116" s="26">
        <v>5240</v>
      </c>
      <c r="AC116" s="26">
        <v>5967</v>
      </c>
      <c r="AD116" s="26">
        <v>5562</v>
      </c>
      <c r="AE116" s="26">
        <v>5148</v>
      </c>
      <c r="AF116" s="26">
        <v>5865</v>
      </c>
      <c r="AG116" s="26">
        <v>5185</v>
      </c>
      <c r="AH116" s="26">
        <v>5494</v>
      </c>
      <c r="AI116" s="26">
        <v>5051</v>
      </c>
      <c r="AJ116" s="26">
        <v>5198</v>
      </c>
      <c r="AK116" s="26">
        <v>5099</v>
      </c>
      <c r="AL116" s="26">
        <v>5058</v>
      </c>
      <c r="AM116" s="26">
        <v>5800</v>
      </c>
      <c r="AN116" s="26">
        <v>5034</v>
      </c>
      <c r="AO116" s="26">
        <v>5321</v>
      </c>
      <c r="AP116" s="26">
        <v>5973</v>
      </c>
      <c r="AQ116" s="26">
        <v>5027</v>
      </c>
      <c r="AR116" s="118">
        <f t="shared" ca="1" si="31"/>
        <v>5364</v>
      </c>
    </row>
    <row r="117" spans="1:44" x14ac:dyDescent="0.35">
      <c r="A117" t="s">
        <v>178</v>
      </c>
      <c r="B117" t="s">
        <v>38</v>
      </c>
      <c r="C117" s="36" t="str">
        <f t="shared" si="16"/>
        <v>DPU20</v>
      </c>
      <c r="D117" s="35">
        <v>5604</v>
      </c>
      <c r="E117" s="26">
        <v>5149</v>
      </c>
      <c r="F117" s="26">
        <v>5148</v>
      </c>
      <c r="G117" s="26">
        <v>5176</v>
      </c>
      <c r="H117" s="26">
        <v>5671</v>
      </c>
      <c r="I117" s="26">
        <v>5322</v>
      </c>
      <c r="J117" s="26">
        <v>5674</v>
      </c>
      <c r="K117" s="26">
        <v>5716</v>
      </c>
      <c r="L117" s="26">
        <v>5607</v>
      </c>
      <c r="M117" s="26">
        <v>5691</v>
      </c>
      <c r="N117" s="26">
        <v>5755</v>
      </c>
      <c r="O117" s="26">
        <v>5496</v>
      </c>
      <c r="P117" s="26">
        <v>5210</v>
      </c>
      <c r="Q117" s="26">
        <v>5981</v>
      </c>
      <c r="R117" s="26">
        <v>5190</v>
      </c>
      <c r="S117" s="26">
        <v>5870</v>
      </c>
      <c r="T117" s="26">
        <v>5529</v>
      </c>
      <c r="U117" s="26">
        <v>5414</v>
      </c>
      <c r="V117" s="26">
        <v>5941</v>
      </c>
      <c r="W117" s="26">
        <v>5218</v>
      </c>
      <c r="X117" s="26">
        <v>5913</v>
      </c>
      <c r="Y117" s="26">
        <v>5691</v>
      </c>
      <c r="Z117" s="26">
        <v>5649</v>
      </c>
      <c r="AA117" s="26">
        <v>5576</v>
      </c>
      <c r="AB117" s="26">
        <v>5443</v>
      </c>
      <c r="AC117" s="26">
        <v>5388</v>
      </c>
      <c r="AD117" s="26">
        <v>5048</v>
      </c>
      <c r="AE117" s="26">
        <v>5363</v>
      </c>
      <c r="AF117" s="26">
        <v>5482</v>
      </c>
      <c r="AG117" s="26">
        <v>5903</v>
      </c>
      <c r="AH117" s="26">
        <v>5490</v>
      </c>
      <c r="AI117" s="26">
        <v>5008</v>
      </c>
      <c r="AJ117" s="26">
        <v>5569</v>
      </c>
      <c r="AK117" s="26">
        <v>5043</v>
      </c>
      <c r="AL117" s="26">
        <v>5230</v>
      </c>
      <c r="AM117" s="26">
        <v>5711</v>
      </c>
      <c r="AN117" s="26">
        <v>5715</v>
      </c>
      <c r="AO117" s="26">
        <v>5643</v>
      </c>
      <c r="AP117" s="26">
        <v>5014</v>
      </c>
      <c r="AQ117" s="26">
        <v>5604</v>
      </c>
      <c r="AR117" s="118">
        <f t="shared" ca="1" si="31"/>
        <v>5646</v>
      </c>
    </row>
    <row r="118" spans="1:44" x14ac:dyDescent="0.35">
      <c r="A118" t="s">
        <v>101</v>
      </c>
      <c r="B118" t="s">
        <v>51</v>
      </c>
      <c r="C118" s="36" t="str">
        <f t="shared" si="16"/>
        <v>CCF21</v>
      </c>
      <c r="D118" s="35">
        <v>1989</v>
      </c>
      <c r="E118" s="26">
        <v>1747</v>
      </c>
      <c r="F118" s="26">
        <v>1980</v>
      </c>
      <c r="G118" s="26">
        <v>1539</v>
      </c>
      <c r="H118" s="26">
        <v>1756</v>
      </c>
      <c r="I118" s="26">
        <v>1727</v>
      </c>
      <c r="J118" s="26">
        <v>1919</v>
      </c>
      <c r="K118" s="26">
        <v>1997</v>
      </c>
      <c r="L118" s="26">
        <v>1779</v>
      </c>
      <c r="M118" s="26">
        <v>1611</v>
      </c>
      <c r="N118" s="26">
        <v>1885</v>
      </c>
      <c r="O118" s="26">
        <v>1769</v>
      </c>
      <c r="P118" s="26">
        <v>1796</v>
      </c>
      <c r="Q118" s="26">
        <v>1583</v>
      </c>
      <c r="R118" s="26">
        <v>1977</v>
      </c>
      <c r="S118" s="26">
        <v>1506</v>
      </c>
      <c r="T118" s="26">
        <v>1756</v>
      </c>
      <c r="U118" s="26">
        <v>1515</v>
      </c>
      <c r="V118" s="26">
        <v>1682</v>
      </c>
      <c r="W118" s="26">
        <v>1866</v>
      </c>
      <c r="X118" s="26">
        <v>1847</v>
      </c>
      <c r="Y118" s="26">
        <v>1768</v>
      </c>
      <c r="Z118" s="26">
        <v>1785</v>
      </c>
      <c r="AA118" s="26">
        <v>1581</v>
      </c>
      <c r="AB118" s="26">
        <v>1617</v>
      </c>
      <c r="AC118" s="26">
        <v>1534</v>
      </c>
      <c r="AD118" s="26">
        <v>1903</v>
      </c>
      <c r="AE118" s="26">
        <v>1868</v>
      </c>
      <c r="AF118" s="26">
        <v>1792</v>
      </c>
      <c r="AG118" s="26">
        <v>1707</v>
      </c>
      <c r="AH118" s="26">
        <v>1957</v>
      </c>
      <c r="AI118" s="26">
        <v>1738</v>
      </c>
      <c r="AJ118" s="26">
        <v>1819</v>
      </c>
      <c r="AK118" s="26">
        <v>1788</v>
      </c>
      <c r="AL118" s="26">
        <v>1880</v>
      </c>
      <c r="AM118" s="26">
        <v>1529</v>
      </c>
      <c r="AN118" s="26">
        <v>1793</v>
      </c>
      <c r="AO118" s="26">
        <v>1671</v>
      </c>
      <c r="AP118" s="26">
        <v>1654</v>
      </c>
      <c r="AQ118" s="26">
        <v>1989</v>
      </c>
      <c r="AR118" s="118">
        <f t="shared" ref="AQ118:AR120" ca="1" si="32">RANDBETWEEN(1500,2000)</f>
        <v>1735</v>
      </c>
    </row>
    <row r="119" spans="1:44" x14ac:dyDescent="0.35">
      <c r="A119" t="s">
        <v>101</v>
      </c>
      <c r="B119" t="s">
        <v>26</v>
      </c>
      <c r="C119" s="36" t="str">
        <f t="shared" si="16"/>
        <v>CCK20</v>
      </c>
      <c r="D119" s="35">
        <v>1530</v>
      </c>
      <c r="E119" s="26">
        <v>1548</v>
      </c>
      <c r="F119" s="26">
        <v>1783</v>
      </c>
      <c r="G119" s="26">
        <v>1542</v>
      </c>
      <c r="H119" s="26">
        <v>1984</v>
      </c>
      <c r="I119" s="26">
        <v>1876</v>
      </c>
      <c r="J119" s="26">
        <v>1996</v>
      </c>
      <c r="K119" s="26">
        <v>1728</v>
      </c>
      <c r="L119" s="26">
        <v>1551</v>
      </c>
      <c r="M119" s="26">
        <v>1829</v>
      </c>
      <c r="N119" s="26">
        <v>1700</v>
      </c>
      <c r="O119" s="26">
        <v>1572</v>
      </c>
      <c r="P119" s="26">
        <v>1529</v>
      </c>
      <c r="Q119" s="26">
        <v>1532</v>
      </c>
      <c r="R119" s="26">
        <v>1605</v>
      </c>
      <c r="S119" s="26">
        <v>1765</v>
      </c>
      <c r="T119" s="26">
        <v>1618</v>
      </c>
      <c r="U119" s="26">
        <v>1749</v>
      </c>
      <c r="V119" s="26">
        <v>1894</v>
      </c>
      <c r="W119" s="26">
        <v>1640</v>
      </c>
      <c r="X119" s="26">
        <v>1531</v>
      </c>
      <c r="Y119" s="26">
        <v>1797</v>
      </c>
      <c r="Z119" s="26">
        <v>1756</v>
      </c>
      <c r="AA119" s="26">
        <v>1805</v>
      </c>
      <c r="AB119" s="26">
        <v>1897</v>
      </c>
      <c r="AC119" s="26">
        <v>1836</v>
      </c>
      <c r="AD119" s="26">
        <v>1897</v>
      </c>
      <c r="AE119" s="26">
        <v>1807</v>
      </c>
      <c r="AF119" s="26">
        <v>1762</v>
      </c>
      <c r="AG119" s="26">
        <v>1816</v>
      </c>
      <c r="AH119" s="26">
        <v>1695</v>
      </c>
      <c r="AI119" s="26">
        <v>1876</v>
      </c>
      <c r="AJ119" s="26">
        <v>1585</v>
      </c>
      <c r="AK119" s="26">
        <v>1658</v>
      </c>
      <c r="AL119" s="26">
        <v>1805</v>
      </c>
      <c r="AM119" s="26">
        <v>1677</v>
      </c>
      <c r="AN119" s="26">
        <v>1941</v>
      </c>
      <c r="AO119" s="26">
        <v>1637</v>
      </c>
      <c r="AP119" s="26">
        <v>1788</v>
      </c>
      <c r="AQ119" s="26">
        <v>1530</v>
      </c>
      <c r="AR119" s="118">
        <f t="shared" ca="1" si="32"/>
        <v>1773</v>
      </c>
    </row>
    <row r="120" spans="1:44" x14ac:dyDescent="0.35">
      <c r="A120" t="s">
        <v>101</v>
      </c>
      <c r="B120" t="s">
        <v>38</v>
      </c>
      <c r="C120" s="36" t="str">
        <f t="shared" si="16"/>
        <v>CCU20</v>
      </c>
      <c r="D120" s="35">
        <v>1736</v>
      </c>
      <c r="E120" s="26">
        <v>1793</v>
      </c>
      <c r="F120" s="26">
        <v>1585</v>
      </c>
      <c r="G120" s="26">
        <v>1558</v>
      </c>
      <c r="H120" s="26">
        <v>1823</v>
      </c>
      <c r="I120" s="26">
        <v>1893</v>
      </c>
      <c r="J120" s="26">
        <v>1968</v>
      </c>
      <c r="K120" s="26">
        <v>1733</v>
      </c>
      <c r="L120" s="26">
        <v>1829</v>
      </c>
      <c r="M120" s="26">
        <v>1838</v>
      </c>
      <c r="N120" s="26">
        <v>1953</v>
      </c>
      <c r="O120" s="26">
        <v>1845</v>
      </c>
      <c r="P120" s="26">
        <v>1742</v>
      </c>
      <c r="Q120" s="26">
        <v>1545</v>
      </c>
      <c r="R120" s="26">
        <v>1905</v>
      </c>
      <c r="S120" s="26">
        <v>1832</v>
      </c>
      <c r="T120" s="26">
        <v>1603</v>
      </c>
      <c r="U120" s="26">
        <v>1611</v>
      </c>
      <c r="V120" s="26">
        <v>1964</v>
      </c>
      <c r="W120" s="26">
        <v>1764</v>
      </c>
      <c r="X120" s="26">
        <v>1654</v>
      </c>
      <c r="Y120" s="26">
        <v>1603</v>
      </c>
      <c r="Z120" s="26">
        <v>1666</v>
      </c>
      <c r="AA120" s="26">
        <v>1763</v>
      </c>
      <c r="AB120" s="26">
        <v>1822</v>
      </c>
      <c r="AC120" s="26">
        <v>1589</v>
      </c>
      <c r="AD120" s="26">
        <v>1734</v>
      </c>
      <c r="AE120" s="26">
        <v>1903</v>
      </c>
      <c r="AF120" s="26">
        <v>1729</v>
      </c>
      <c r="AG120" s="26">
        <v>1557</v>
      </c>
      <c r="AH120" s="26">
        <v>1521</v>
      </c>
      <c r="AI120" s="26">
        <v>1939</v>
      </c>
      <c r="AJ120" s="26">
        <v>1736</v>
      </c>
      <c r="AK120" s="26">
        <v>1593</v>
      </c>
      <c r="AL120" s="26">
        <v>1634</v>
      </c>
      <c r="AM120" s="26">
        <v>1775</v>
      </c>
      <c r="AN120" s="26">
        <v>1656</v>
      </c>
      <c r="AO120" s="26">
        <v>1869</v>
      </c>
      <c r="AP120" s="26">
        <v>1525</v>
      </c>
      <c r="AQ120" s="26">
        <v>1736</v>
      </c>
      <c r="AR120" s="118">
        <f t="shared" ca="1" si="32"/>
        <v>1771</v>
      </c>
    </row>
    <row r="121" spans="1:44" x14ac:dyDescent="0.35">
      <c r="A121" t="s">
        <v>114</v>
      </c>
      <c r="B121" t="s">
        <v>51</v>
      </c>
      <c r="C121" s="36" t="str">
        <f t="shared" si="16"/>
        <v>IOF21</v>
      </c>
      <c r="D121" s="35">
        <v>566</v>
      </c>
      <c r="E121" s="26">
        <v>595</v>
      </c>
      <c r="F121" s="26">
        <v>584</v>
      </c>
      <c r="G121" s="26">
        <v>552</v>
      </c>
      <c r="H121" s="26">
        <v>598</v>
      </c>
      <c r="I121" s="26">
        <v>572</v>
      </c>
      <c r="J121" s="26">
        <v>615</v>
      </c>
      <c r="K121" s="26">
        <v>573</v>
      </c>
      <c r="L121" s="26">
        <v>585</v>
      </c>
      <c r="M121" s="26">
        <v>586</v>
      </c>
      <c r="N121" s="26">
        <v>564</v>
      </c>
      <c r="O121" s="26">
        <v>553</v>
      </c>
      <c r="P121" s="26">
        <v>605</v>
      </c>
      <c r="Q121" s="26">
        <v>579</v>
      </c>
      <c r="R121" s="26">
        <v>614</v>
      </c>
      <c r="S121" s="26">
        <v>585</v>
      </c>
      <c r="T121" s="26">
        <v>617</v>
      </c>
      <c r="U121" s="26">
        <v>560</v>
      </c>
      <c r="V121" s="26">
        <v>555</v>
      </c>
      <c r="W121" s="26">
        <v>603</v>
      </c>
      <c r="X121" s="26">
        <v>569</v>
      </c>
      <c r="Y121" s="26">
        <v>605</v>
      </c>
      <c r="Z121" s="26">
        <v>572</v>
      </c>
      <c r="AA121" s="26">
        <v>591</v>
      </c>
      <c r="AB121" s="26">
        <v>616</v>
      </c>
      <c r="AC121" s="26">
        <v>616</v>
      </c>
      <c r="AD121" s="26">
        <v>551</v>
      </c>
      <c r="AE121" s="26">
        <v>614</v>
      </c>
      <c r="AF121" s="26">
        <v>575</v>
      </c>
      <c r="AG121" s="26">
        <v>614</v>
      </c>
      <c r="AH121" s="26">
        <v>576</v>
      </c>
      <c r="AI121" s="26">
        <v>612</v>
      </c>
      <c r="AJ121" s="26">
        <v>561</v>
      </c>
      <c r="AK121" s="26">
        <v>585</v>
      </c>
      <c r="AL121" s="26">
        <v>590</v>
      </c>
      <c r="AM121" s="26">
        <v>595</v>
      </c>
      <c r="AN121" s="26">
        <v>570</v>
      </c>
      <c r="AO121" s="26">
        <v>598</v>
      </c>
      <c r="AP121" s="26">
        <v>576</v>
      </c>
      <c r="AQ121" s="26">
        <v>566</v>
      </c>
      <c r="AR121" s="118">
        <f t="shared" ref="AQ121:AR123" ca="1" si="33">RANDBETWEEN(550,620)</f>
        <v>572</v>
      </c>
    </row>
    <row r="122" spans="1:44" x14ac:dyDescent="0.35">
      <c r="A122" t="s">
        <v>114</v>
      </c>
      <c r="B122" t="s">
        <v>26</v>
      </c>
      <c r="C122" s="36" t="str">
        <f t="shared" si="16"/>
        <v>IOK20</v>
      </c>
      <c r="D122" s="35">
        <v>591</v>
      </c>
      <c r="E122" s="26">
        <v>580</v>
      </c>
      <c r="F122" s="26">
        <v>609</v>
      </c>
      <c r="G122" s="26">
        <v>592</v>
      </c>
      <c r="H122" s="26">
        <v>553</v>
      </c>
      <c r="I122" s="26">
        <v>602</v>
      </c>
      <c r="J122" s="26">
        <v>599</v>
      </c>
      <c r="K122" s="26">
        <v>557</v>
      </c>
      <c r="L122" s="26">
        <v>585</v>
      </c>
      <c r="M122" s="26">
        <v>567</v>
      </c>
      <c r="N122" s="26">
        <v>584</v>
      </c>
      <c r="O122" s="26">
        <v>586</v>
      </c>
      <c r="P122" s="26">
        <v>600</v>
      </c>
      <c r="Q122" s="26">
        <v>578</v>
      </c>
      <c r="R122" s="26">
        <v>597</v>
      </c>
      <c r="S122" s="26">
        <v>568</v>
      </c>
      <c r="T122" s="26">
        <v>568</v>
      </c>
      <c r="U122" s="26">
        <v>565</v>
      </c>
      <c r="V122" s="26">
        <v>564</v>
      </c>
      <c r="W122" s="26">
        <v>609</v>
      </c>
      <c r="X122" s="26">
        <v>599</v>
      </c>
      <c r="Y122" s="26">
        <v>599</v>
      </c>
      <c r="Z122" s="26">
        <v>578</v>
      </c>
      <c r="AA122" s="26">
        <v>598</v>
      </c>
      <c r="AB122" s="26">
        <v>550</v>
      </c>
      <c r="AC122" s="26">
        <v>605</v>
      </c>
      <c r="AD122" s="26">
        <v>592</v>
      </c>
      <c r="AE122" s="26">
        <v>619</v>
      </c>
      <c r="AF122" s="26">
        <v>599</v>
      </c>
      <c r="AG122" s="26">
        <v>560</v>
      </c>
      <c r="AH122" s="26">
        <v>602</v>
      </c>
      <c r="AI122" s="26">
        <v>596</v>
      </c>
      <c r="AJ122" s="26">
        <v>563</v>
      </c>
      <c r="AK122" s="26">
        <v>602</v>
      </c>
      <c r="AL122" s="26">
        <v>570</v>
      </c>
      <c r="AM122" s="26">
        <v>557</v>
      </c>
      <c r="AN122" s="26">
        <v>610</v>
      </c>
      <c r="AO122" s="26">
        <v>552</v>
      </c>
      <c r="AP122" s="26">
        <v>604</v>
      </c>
      <c r="AQ122" s="26">
        <v>591</v>
      </c>
      <c r="AR122" s="118">
        <f t="shared" ca="1" si="33"/>
        <v>558</v>
      </c>
    </row>
    <row r="123" spans="1:44" x14ac:dyDescent="0.35">
      <c r="A123" t="s">
        <v>114</v>
      </c>
      <c r="B123" t="s">
        <v>38</v>
      </c>
      <c r="C123" s="36" t="str">
        <f t="shared" si="16"/>
        <v>IOU20</v>
      </c>
      <c r="D123" s="35">
        <v>559</v>
      </c>
      <c r="E123" s="26">
        <v>556</v>
      </c>
      <c r="F123" s="26">
        <v>567</v>
      </c>
      <c r="G123" s="26">
        <v>575</v>
      </c>
      <c r="H123" s="26">
        <v>562</v>
      </c>
      <c r="I123" s="26">
        <v>608</v>
      </c>
      <c r="J123" s="26">
        <v>553</v>
      </c>
      <c r="K123" s="26">
        <v>582</v>
      </c>
      <c r="L123" s="26">
        <v>618</v>
      </c>
      <c r="M123" s="26">
        <v>617</v>
      </c>
      <c r="N123" s="26">
        <v>614</v>
      </c>
      <c r="O123" s="26">
        <v>563</v>
      </c>
      <c r="P123" s="26">
        <v>589</v>
      </c>
      <c r="Q123" s="26">
        <v>570</v>
      </c>
      <c r="R123" s="26">
        <v>585</v>
      </c>
      <c r="S123" s="26">
        <v>600</v>
      </c>
      <c r="T123" s="26">
        <v>588</v>
      </c>
      <c r="U123" s="26">
        <v>595</v>
      </c>
      <c r="V123" s="26">
        <v>609</v>
      </c>
      <c r="W123" s="26">
        <v>568</v>
      </c>
      <c r="X123" s="26">
        <v>572</v>
      </c>
      <c r="Y123" s="26">
        <v>591</v>
      </c>
      <c r="Z123" s="26">
        <v>565</v>
      </c>
      <c r="AA123" s="26">
        <v>589</v>
      </c>
      <c r="AB123" s="26">
        <v>604</v>
      </c>
      <c r="AC123" s="26">
        <v>589</v>
      </c>
      <c r="AD123" s="26">
        <v>599</v>
      </c>
      <c r="AE123" s="26">
        <v>573</v>
      </c>
      <c r="AF123" s="26">
        <v>590</v>
      </c>
      <c r="AG123" s="26">
        <v>564</v>
      </c>
      <c r="AH123" s="26">
        <v>577</v>
      </c>
      <c r="AI123" s="26">
        <v>550</v>
      </c>
      <c r="AJ123" s="26">
        <v>618</v>
      </c>
      <c r="AK123" s="26">
        <v>617</v>
      </c>
      <c r="AL123" s="26">
        <v>553</v>
      </c>
      <c r="AM123" s="26">
        <v>586</v>
      </c>
      <c r="AN123" s="26">
        <v>598</v>
      </c>
      <c r="AO123" s="26">
        <v>612</v>
      </c>
      <c r="AP123" s="26">
        <v>575</v>
      </c>
      <c r="AQ123" s="26">
        <v>559</v>
      </c>
      <c r="AR123" s="118">
        <f t="shared" ca="1" si="33"/>
        <v>581</v>
      </c>
    </row>
    <row r="124" spans="1:44" x14ac:dyDescent="0.35">
      <c r="A124" t="s">
        <v>118</v>
      </c>
      <c r="B124" t="s">
        <v>51</v>
      </c>
      <c r="C124" s="36" t="str">
        <f t="shared" si="16"/>
        <v>CKF21</v>
      </c>
      <c r="D124" s="35">
        <v>1694</v>
      </c>
      <c r="E124" s="26">
        <v>1511</v>
      </c>
      <c r="F124" s="26">
        <v>1514</v>
      </c>
      <c r="G124" s="26">
        <v>1573</v>
      </c>
      <c r="H124" s="26">
        <v>1543</v>
      </c>
      <c r="I124" s="26">
        <v>1551</v>
      </c>
      <c r="J124" s="26">
        <v>1548</v>
      </c>
      <c r="K124" s="26">
        <v>1632</v>
      </c>
      <c r="L124" s="26">
        <v>1526</v>
      </c>
      <c r="M124" s="26">
        <v>1629</v>
      </c>
      <c r="N124" s="26">
        <v>1571</v>
      </c>
      <c r="O124" s="26">
        <v>1695</v>
      </c>
      <c r="P124" s="26">
        <v>1536</v>
      </c>
      <c r="Q124" s="26">
        <v>1615</v>
      </c>
      <c r="R124" s="26">
        <v>1540</v>
      </c>
      <c r="S124" s="26">
        <v>1615</v>
      </c>
      <c r="T124" s="26">
        <v>1670</v>
      </c>
      <c r="U124" s="26">
        <v>1559</v>
      </c>
      <c r="V124" s="26">
        <v>1567</v>
      </c>
      <c r="W124" s="26">
        <v>1579</v>
      </c>
      <c r="X124" s="26">
        <v>1644</v>
      </c>
      <c r="Y124" s="26">
        <v>1611</v>
      </c>
      <c r="Z124" s="26">
        <v>1575</v>
      </c>
      <c r="AA124" s="26">
        <v>1595</v>
      </c>
      <c r="AB124" s="26">
        <v>1532</v>
      </c>
      <c r="AC124" s="26">
        <v>1646</v>
      </c>
      <c r="AD124" s="26">
        <v>1565</v>
      </c>
      <c r="AE124" s="26">
        <v>1536</v>
      </c>
      <c r="AF124" s="26">
        <v>1609</v>
      </c>
      <c r="AG124" s="26">
        <v>1567</v>
      </c>
      <c r="AH124" s="26">
        <v>1543</v>
      </c>
      <c r="AI124" s="26">
        <v>1697</v>
      </c>
      <c r="AJ124" s="26">
        <v>1680</v>
      </c>
      <c r="AK124" s="26">
        <v>1617</v>
      </c>
      <c r="AL124" s="26">
        <v>1676</v>
      </c>
      <c r="AM124" s="26">
        <v>1514</v>
      </c>
      <c r="AN124" s="26">
        <v>1654</v>
      </c>
      <c r="AO124" s="26">
        <v>1689</v>
      </c>
      <c r="AP124" s="26">
        <v>1530</v>
      </c>
      <c r="AQ124" s="26">
        <v>1694</v>
      </c>
      <c r="AR124" s="118">
        <f t="shared" ref="AQ124:AR126" ca="1" si="34">RANDBETWEEN(1500,1700)</f>
        <v>1646</v>
      </c>
    </row>
    <row r="125" spans="1:44" x14ac:dyDescent="0.35">
      <c r="A125" t="s">
        <v>118</v>
      </c>
      <c r="B125" t="s">
        <v>26</v>
      </c>
      <c r="C125" s="36" t="str">
        <f t="shared" si="16"/>
        <v>CKK20</v>
      </c>
      <c r="D125" s="35">
        <v>1670</v>
      </c>
      <c r="E125" s="26">
        <v>1597</v>
      </c>
      <c r="F125" s="26">
        <v>1681</v>
      </c>
      <c r="G125" s="26">
        <v>1637</v>
      </c>
      <c r="H125" s="26">
        <v>1633</v>
      </c>
      <c r="I125" s="26">
        <v>1689</v>
      </c>
      <c r="J125" s="26">
        <v>1610</v>
      </c>
      <c r="K125" s="26">
        <v>1684</v>
      </c>
      <c r="L125" s="26">
        <v>1582</v>
      </c>
      <c r="M125" s="26">
        <v>1657</v>
      </c>
      <c r="N125" s="26">
        <v>1630</v>
      </c>
      <c r="O125" s="26">
        <v>1562</v>
      </c>
      <c r="P125" s="26">
        <v>1534</v>
      </c>
      <c r="Q125" s="26">
        <v>1504</v>
      </c>
      <c r="R125" s="26">
        <v>1634</v>
      </c>
      <c r="S125" s="26">
        <v>1532</v>
      </c>
      <c r="T125" s="26">
        <v>1642</v>
      </c>
      <c r="U125" s="26">
        <v>1624</v>
      </c>
      <c r="V125" s="26">
        <v>1644</v>
      </c>
      <c r="W125" s="26">
        <v>1583</v>
      </c>
      <c r="X125" s="26">
        <v>1672</v>
      </c>
      <c r="Y125" s="26">
        <v>1587</v>
      </c>
      <c r="Z125" s="26">
        <v>1625</v>
      </c>
      <c r="AA125" s="26">
        <v>1660</v>
      </c>
      <c r="AB125" s="26">
        <v>1642</v>
      </c>
      <c r="AC125" s="26">
        <v>1622</v>
      </c>
      <c r="AD125" s="26">
        <v>1500</v>
      </c>
      <c r="AE125" s="26">
        <v>1588</v>
      </c>
      <c r="AF125" s="26">
        <v>1619</v>
      </c>
      <c r="AG125" s="26">
        <v>1598</v>
      </c>
      <c r="AH125" s="26">
        <v>1550</v>
      </c>
      <c r="AI125" s="26">
        <v>1507</v>
      </c>
      <c r="AJ125" s="26">
        <v>1535</v>
      </c>
      <c r="AK125" s="26">
        <v>1697</v>
      </c>
      <c r="AL125" s="26">
        <v>1598</v>
      </c>
      <c r="AM125" s="26">
        <v>1603</v>
      </c>
      <c r="AN125" s="26">
        <v>1650</v>
      </c>
      <c r="AO125" s="26">
        <v>1579</v>
      </c>
      <c r="AP125" s="26">
        <v>1505</v>
      </c>
      <c r="AQ125" s="26">
        <v>1670</v>
      </c>
      <c r="AR125" s="118">
        <f t="shared" ca="1" si="34"/>
        <v>1699</v>
      </c>
    </row>
    <row r="126" spans="1:44" s="33" customFormat="1" x14ac:dyDescent="0.35">
      <c r="A126" s="33" t="s">
        <v>118</v>
      </c>
      <c r="B126" s="33" t="s">
        <v>38</v>
      </c>
      <c r="C126" s="37" t="str">
        <f t="shared" si="16"/>
        <v>CKU20</v>
      </c>
      <c r="D126" s="76">
        <v>1608</v>
      </c>
      <c r="E126" s="33">
        <v>1556</v>
      </c>
      <c r="F126" s="33">
        <v>1549</v>
      </c>
      <c r="G126" s="33">
        <v>1698</v>
      </c>
      <c r="H126" s="33">
        <v>1576</v>
      </c>
      <c r="I126" s="33">
        <v>1514</v>
      </c>
      <c r="J126" s="33">
        <v>1648</v>
      </c>
      <c r="K126" s="33">
        <v>1545</v>
      </c>
      <c r="L126" s="33">
        <v>1605</v>
      </c>
      <c r="M126" s="33">
        <v>1586</v>
      </c>
      <c r="N126" s="33">
        <v>1533</v>
      </c>
      <c r="O126" s="33">
        <v>1635</v>
      </c>
      <c r="P126" s="33">
        <v>1607</v>
      </c>
      <c r="Q126" s="33">
        <v>1569</v>
      </c>
      <c r="R126" s="33">
        <v>1605</v>
      </c>
      <c r="S126" s="33">
        <v>1699</v>
      </c>
      <c r="T126" s="33">
        <v>1602</v>
      </c>
      <c r="U126" s="33">
        <v>1618</v>
      </c>
      <c r="V126" s="33">
        <v>1519</v>
      </c>
      <c r="W126" s="33">
        <v>1691</v>
      </c>
      <c r="X126" s="33">
        <v>1534</v>
      </c>
      <c r="Y126" s="33">
        <v>1596</v>
      </c>
      <c r="Z126" s="33">
        <v>1513</v>
      </c>
      <c r="AA126" s="33">
        <v>1564</v>
      </c>
      <c r="AB126" s="33">
        <v>1593</v>
      </c>
      <c r="AC126" s="33">
        <v>1649</v>
      </c>
      <c r="AD126" s="33">
        <v>1518</v>
      </c>
      <c r="AE126" s="33">
        <v>1562</v>
      </c>
      <c r="AF126" s="33">
        <v>1674</v>
      </c>
      <c r="AG126" s="33">
        <v>1660</v>
      </c>
      <c r="AH126" s="33">
        <v>1563</v>
      </c>
      <c r="AI126" s="33">
        <v>1627</v>
      </c>
      <c r="AJ126" s="33">
        <v>1698</v>
      </c>
      <c r="AK126" s="33">
        <v>1631</v>
      </c>
      <c r="AL126" s="33">
        <v>1635</v>
      </c>
      <c r="AM126" s="33">
        <v>1646</v>
      </c>
      <c r="AN126" s="33">
        <v>1609</v>
      </c>
      <c r="AO126" s="33">
        <v>1687</v>
      </c>
      <c r="AP126" s="33">
        <v>1679</v>
      </c>
      <c r="AQ126" s="33">
        <v>1608</v>
      </c>
      <c r="AR126" s="119">
        <f t="shared" ca="1" si="34"/>
        <v>1599</v>
      </c>
    </row>
    <row r="127" spans="1:44" x14ac:dyDescent="0.35">
      <c r="A127" t="s">
        <v>93</v>
      </c>
      <c r="B127" t="s">
        <v>57</v>
      </c>
      <c r="C127" s="36" t="str">
        <f t="shared" si="16"/>
        <v>CTH21</v>
      </c>
      <c r="D127" s="35">
        <v>89.35</v>
      </c>
      <c r="E127">
        <v>87.98</v>
      </c>
      <c r="F127">
        <v>85.84</v>
      </c>
      <c r="G127">
        <v>89.61</v>
      </c>
      <c r="H127">
        <v>89.01</v>
      </c>
      <c r="I127">
        <v>87.47</v>
      </c>
      <c r="J127">
        <v>89.27</v>
      </c>
      <c r="K127">
        <v>82.33</v>
      </c>
      <c r="L127">
        <v>85.28</v>
      </c>
      <c r="M127">
        <v>85.82</v>
      </c>
      <c r="N127">
        <v>86.66</v>
      </c>
      <c r="O127">
        <v>84.78</v>
      </c>
      <c r="P127">
        <v>87.42</v>
      </c>
      <c r="Q127">
        <v>82.42</v>
      </c>
      <c r="R127">
        <v>85</v>
      </c>
      <c r="S127">
        <v>85.66</v>
      </c>
      <c r="T127">
        <v>87.1</v>
      </c>
      <c r="U127">
        <v>87.75</v>
      </c>
      <c r="V127">
        <v>81.14</v>
      </c>
      <c r="W127">
        <v>80.8</v>
      </c>
      <c r="X127">
        <v>86.24</v>
      </c>
      <c r="Y127">
        <v>80.22</v>
      </c>
      <c r="Z127">
        <v>83.53</v>
      </c>
      <c r="AA127">
        <v>87.29</v>
      </c>
      <c r="AB127">
        <v>82.28</v>
      </c>
      <c r="AC127">
        <v>88.43</v>
      </c>
      <c r="AD127">
        <v>82.68</v>
      </c>
      <c r="AE127">
        <v>83.84</v>
      </c>
      <c r="AF127">
        <v>82.49</v>
      </c>
      <c r="AG127">
        <v>85.65</v>
      </c>
      <c r="AH127">
        <v>84.34</v>
      </c>
      <c r="AI127">
        <v>89.48</v>
      </c>
      <c r="AJ127">
        <v>86.69</v>
      </c>
      <c r="AK127">
        <v>81.11</v>
      </c>
      <c r="AL127">
        <v>83.3</v>
      </c>
      <c r="AM127">
        <v>88.31</v>
      </c>
      <c r="AN127">
        <v>83.57</v>
      </c>
      <c r="AO127">
        <v>82.55</v>
      </c>
      <c r="AP127">
        <v>83.67</v>
      </c>
      <c r="AQ127">
        <v>89.35</v>
      </c>
      <c r="AR127" s="112">
        <f t="shared" ref="AQ127:AR129" ca="1" si="35">RANDBETWEEN(8000,9000)/100</f>
        <v>84.79</v>
      </c>
    </row>
    <row r="128" spans="1:44" x14ac:dyDescent="0.35">
      <c r="A128" t="s">
        <v>93</v>
      </c>
      <c r="B128" t="s">
        <v>26</v>
      </c>
      <c r="C128" s="36" t="str">
        <f t="shared" si="16"/>
        <v>CTK20</v>
      </c>
      <c r="D128" s="35">
        <v>80.739999999999995</v>
      </c>
      <c r="E128">
        <v>88.05</v>
      </c>
      <c r="F128">
        <v>86.75</v>
      </c>
      <c r="G128">
        <v>88.28</v>
      </c>
      <c r="H128">
        <v>86.81</v>
      </c>
      <c r="I128">
        <v>88.73</v>
      </c>
      <c r="J128">
        <v>86.88</v>
      </c>
      <c r="K128">
        <v>89.35</v>
      </c>
      <c r="L128">
        <v>88.53</v>
      </c>
      <c r="M128">
        <v>81.790000000000006</v>
      </c>
      <c r="N128">
        <v>87.43</v>
      </c>
      <c r="O128">
        <v>86.52</v>
      </c>
      <c r="P128">
        <v>87.78</v>
      </c>
      <c r="Q128">
        <v>89.86</v>
      </c>
      <c r="R128">
        <v>86.85</v>
      </c>
      <c r="S128">
        <v>81.900000000000006</v>
      </c>
      <c r="T128">
        <v>89.52</v>
      </c>
      <c r="U128">
        <v>88.23</v>
      </c>
      <c r="V128">
        <v>86.29</v>
      </c>
      <c r="W128">
        <v>86.54</v>
      </c>
      <c r="X128">
        <v>88.23</v>
      </c>
      <c r="Y128">
        <v>85.21</v>
      </c>
      <c r="Z128">
        <v>86.62</v>
      </c>
      <c r="AA128">
        <v>85.77</v>
      </c>
      <c r="AB128">
        <v>83.74</v>
      </c>
      <c r="AC128">
        <v>83.49</v>
      </c>
      <c r="AD128">
        <v>88.62</v>
      </c>
      <c r="AE128">
        <v>82.12</v>
      </c>
      <c r="AF128">
        <v>86.39</v>
      </c>
      <c r="AG128">
        <v>84.11</v>
      </c>
      <c r="AH128">
        <v>89.56</v>
      </c>
      <c r="AI128">
        <v>88.95</v>
      </c>
      <c r="AJ128">
        <v>81.47</v>
      </c>
      <c r="AK128">
        <v>84.55</v>
      </c>
      <c r="AL128">
        <v>82.98</v>
      </c>
      <c r="AM128">
        <v>82.24</v>
      </c>
      <c r="AN128">
        <v>88.7</v>
      </c>
      <c r="AO128">
        <v>88.63</v>
      </c>
      <c r="AP128">
        <v>83.79</v>
      </c>
      <c r="AQ128">
        <v>80.739999999999995</v>
      </c>
      <c r="AR128" s="112">
        <f t="shared" ca="1" si="35"/>
        <v>86.06</v>
      </c>
    </row>
    <row r="129" spans="1:44" x14ac:dyDescent="0.35">
      <c r="A129" t="s">
        <v>93</v>
      </c>
      <c r="B129" t="s">
        <v>41</v>
      </c>
      <c r="C129" s="36" t="str">
        <f t="shared" si="16"/>
        <v>CTV20</v>
      </c>
      <c r="D129" s="35">
        <v>82.28</v>
      </c>
      <c r="E129">
        <v>80.69</v>
      </c>
      <c r="F129">
        <v>89.66</v>
      </c>
      <c r="G129">
        <v>81.680000000000007</v>
      </c>
      <c r="H129">
        <v>81.790000000000006</v>
      </c>
      <c r="I129">
        <v>88.68</v>
      </c>
      <c r="J129">
        <v>88.45</v>
      </c>
      <c r="K129">
        <v>87.38</v>
      </c>
      <c r="L129">
        <v>82.63</v>
      </c>
      <c r="M129">
        <v>83.87</v>
      </c>
      <c r="N129">
        <v>84.59</v>
      </c>
      <c r="O129">
        <v>86.06</v>
      </c>
      <c r="P129">
        <v>85.41</v>
      </c>
      <c r="Q129">
        <v>89.43</v>
      </c>
      <c r="R129">
        <v>81.290000000000006</v>
      </c>
      <c r="S129">
        <v>86.99</v>
      </c>
      <c r="T129">
        <v>88.6</v>
      </c>
      <c r="U129">
        <v>83.63</v>
      </c>
      <c r="V129">
        <v>80.47</v>
      </c>
      <c r="W129">
        <v>82.93</v>
      </c>
      <c r="X129">
        <v>86.69</v>
      </c>
      <c r="Y129">
        <v>85.1</v>
      </c>
      <c r="Z129">
        <v>89.28</v>
      </c>
      <c r="AA129">
        <v>82.4</v>
      </c>
      <c r="AB129">
        <v>85.16</v>
      </c>
      <c r="AC129">
        <v>81.55</v>
      </c>
      <c r="AD129">
        <v>80.33</v>
      </c>
      <c r="AE129">
        <v>84.15</v>
      </c>
      <c r="AF129">
        <v>87.8</v>
      </c>
      <c r="AG129">
        <v>80.959999999999994</v>
      </c>
      <c r="AH129">
        <v>85.12</v>
      </c>
      <c r="AI129">
        <v>83.94</v>
      </c>
      <c r="AJ129">
        <v>82.48</v>
      </c>
      <c r="AK129">
        <v>85.67</v>
      </c>
      <c r="AL129">
        <v>82.95</v>
      </c>
      <c r="AM129">
        <v>82.75</v>
      </c>
      <c r="AN129">
        <v>82.21</v>
      </c>
      <c r="AO129">
        <v>81.99</v>
      </c>
      <c r="AP129">
        <v>88.94</v>
      </c>
      <c r="AQ129">
        <v>82.28</v>
      </c>
      <c r="AR129" s="112">
        <f t="shared" ca="1" si="35"/>
        <v>84.39</v>
      </c>
    </row>
    <row r="130" spans="1:44" x14ac:dyDescent="0.35">
      <c r="A130" t="s">
        <v>97</v>
      </c>
      <c r="B130" t="s">
        <v>57</v>
      </c>
      <c r="C130" s="36" t="str">
        <f t="shared" si="16"/>
        <v>SGH21</v>
      </c>
      <c r="D130" s="35">
        <v>13.6</v>
      </c>
      <c r="E130">
        <v>14.31</v>
      </c>
      <c r="F130">
        <v>14.33</v>
      </c>
      <c r="G130">
        <v>13.7</v>
      </c>
      <c r="H130">
        <v>14.35</v>
      </c>
      <c r="I130">
        <v>14.83</v>
      </c>
      <c r="J130">
        <v>14.04</v>
      </c>
      <c r="K130">
        <v>14.62</v>
      </c>
      <c r="L130">
        <v>13.93</v>
      </c>
      <c r="M130">
        <v>14.64</v>
      </c>
      <c r="N130">
        <v>13.36</v>
      </c>
      <c r="O130">
        <v>13.69</v>
      </c>
      <c r="P130">
        <v>14.96</v>
      </c>
      <c r="Q130">
        <v>14.2</v>
      </c>
      <c r="R130">
        <v>14.97</v>
      </c>
      <c r="S130">
        <v>13.57</v>
      </c>
      <c r="T130">
        <v>13.87</v>
      </c>
      <c r="U130">
        <v>14.33</v>
      </c>
      <c r="V130">
        <v>13.79</v>
      </c>
      <c r="W130">
        <v>14.34</v>
      </c>
      <c r="X130">
        <v>13.38</v>
      </c>
      <c r="Y130">
        <v>13.64</v>
      </c>
      <c r="Z130">
        <v>14.57</v>
      </c>
      <c r="AA130">
        <v>14.39</v>
      </c>
      <c r="AB130">
        <v>14.58</v>
      </c>
      <c r="AC130">
        <v>14.31</v>
      </c>
      <c r="AD130">
        <v>13.97</v>
      </c>
      <c r="AE130">
        <v>13.46</v>
      </c>
      <c r="AF130">
        <v>14.28</v>
      </c>
      <c r="AG130">
        <v>13.03</v>
      </c>
      <c r="AH130">
        <v>14.12</v>
      </c>
      <c r="AI130">
        <v>13.6</v>
      </c>
      <c r="AJ130">
        <v>14.37</v>
      </c>
      <c r="AK130">
        <v>14.49</v>
      </c>
      <c r="AL130">
        <v>13.65</v>
      </c>
      <c r="AM130">
        <v>13.2</v>
      </c>
      <c r="AN130">
        <v>14.04</v>
      </c>
      <c r="AO130">
        <v>14.59</v>
      </c>
      <c r="AP130">
        <v>14.53</v>
      </c>
      <c r="AQ130">
        <v>13.6</v>
      </c>
      <c r="AR130" s="112">
        <f t="shared" ref="AQ130:AR132" ca="1" si="36">RANDBETWEEN(1300,1500)/100</f>
        <v>14.32</v>
      </c>
    </row>
    <row r="131" spans="1:44" x14ac:dyDescent="0.35">
      <c r="A131" t="s">
        <v>97</v>
      </c>
      <c r="B131" t="s">
        <v>26</v>
      </c>
      <c r="C131" s="36" t="str">
        <f t="shared" si="16"/>
        <v>SGK20</v>
      </c>
      <c r="D131" s="35">
        <v>14.83</v>
      </c>
      <c r="E131">
        <v>14.85</v>
      </c>
      <c r="F131">
        <v>13.29</v>
      </c>
      <c r="G131">
        <v>14.21</v>
      </c>
      <c r="H131">
        <v>13.5</v>
      </c>
      <c r="I131">
        <v>14.39</v>
      </c>
      <c r="J131">
        <v>13.42</v>
      </c>
      <c r="K131">
        <v>14.74</v>
      </c>
      <c r="L131">
        <v>14.71</v>
      </c>
      <c r="M131">
        <v>14.51</v>
      </c>
      <c r="N131">
        <v>13.97</v>
      </c>
      <c r="O131">
        <v>14.74</v>
      </c>
      <c r="P131">
        <v>13.42</v>
      </c>
      <c r="Q131">
        <v>14.98</v>
      </c>
      <c r="R131">
        <v>14.56</v>
      </c>
      <c r="S131">
        <v>14.89</v>
      </c>
      <c r="T131">
        <v>14.77</v>
      </c>
      <c r="U131">
        <v>14.13</v>
      </c>
      <c r="V131">
        <v>13.13</v>
      </c>
      <c r="W131">
        <v>13.65</v>
      </c>
      <c r="X131">
        <v>14.13</v>
      </c>
      <c r="Y131">
        <v>14.16</v>
      </c>
      <c r="Z131">
        <v>14.7</v>
      </c>
      <c r="AA131">
        <v>13.91</v>
      </c>
      <c r="AB131">
        <v>13.97</v>
      </c>
      <c r="AC131">
        <v>13.17</v>
      </c>
      <c r="AD131">
        <v>14.38</v>
      </c>
      <c r="AE131">
        <v>14.72</v>
      </c>
      <c r="AF131">
        <v>14.46</v>
      </c>
      <c r="AG131">
        <v>14.99</v>
      </c>
      <c r="AH131">
        <v>13.65</v>
      </c>
      <c r="AI131">
        <v>14.34</v>
      </c>
      <c r="AJ131">
        <v>14.57</v>
      </c>
      <c r="AK131">
        <v>14.15</v>
      </c>
      <c r="AL131">
        <v>13.93</v>
      </c>
      <c r="AM131">
        <v>13.03</v>
      </c>
      <c r="AN131">
        <v>13.18</v>
      </c>
      <c r="AO131">
        <v>14.17</v>
      </c>
      <c r="AP131">
        <v>13.12</v>
      </c>
      <c r="AQ131">
        <v>14.83</v>
      </c>
      <c r="AR131" s="112">
        <f t="shared" ca="1" si="36"/>
        <v>13.12</v>
      </c>
    </row>
    <row r="132" spans="1:44" x14ac:dyDescent="0.35">
      <c r="A132" t="s">
        <v>97</v>
      </c>
      <c r="B132" t="s">
        <v>41</v>
      </c>
      <c r="C132" s="36" t="str">
        <f t="shared" si="16"/>
        <v>SGV20</v>
      </c>
      <c r="D132" s="35">
        <v>14.47</v>
      </c>
      <c r="E132">
        <v>13.58</v>
      </c>
      <c r="F132">
        <v>14.99</v>
      </c>
      <c r="G132">
        <v>14.07</v>
      </c>
      <c r="H132">
        <v>14.82</v>
      </c>
      <c r="I132">
        <v>14.48</v>
      </c>
      <c r="J132">
        <v>14.53</v>
      </c>
      <c r="K132">
        <v>13.33</v>
      </c>
      <c r="L132">
        <v>13.52</v>
      </c>
      <c r="M132">
        <v>13.79</v>
      </c>
      <c r="N132">
        <v>14.63</v>
      </c>
      <c r="O132">
        <v>14.38</v>
      </c>
      <c r="P132">
        <v>14.19</v>
      </c>
      <c r="Q132">
        <v>13.68</v>
      </c>
      <c r="R132">
        <v>13.09</v>
      </c>
      <c r="S132">
        <v>14.2</v>
      </c>
      <c r="T132">
        <v>14.77</v>
      </c>
      <c r="U132">
        <v>14.87</v>
      </c>
      <c r="V132">
        <v>13.9</v>
      </c>
      <c r="W132">
        <v>13.22</v>
      </c>
      <c r="X132">
        <v>14.16</v>
      </c>
      <c r="Y132">
        <v>13.72</v>
      </c>
      <c r="Z132">
        <v>13.95</v>
      </c>
      <c r="AA132">
        <v>13.66</v>
      </c>
      <c r="AB132">
        <v>13.67</v>
      </c>
      <c r="AC132">
        <v>14.4</v>
      </c>
      <c r="AD132">
        <v>13.2</v>
      </c>
      <c r="AE132">
        <v>13</v>
      </c>
      <c r="AF132">
        <v>13.76</v>
      </c>
      <c r="AG132">
        <v>13.58</v>
      </c>
      <c r="AH132">
        <v>13.76</v>
      </c>
      <c r="AI132">
        <v>13.56</v>
      </c>
      <c r="AJ132">
        <v>13.75</v>
      </c>
      <c r="AK132">
        <v>13.43</v>
      </c>
      <c r="AL132">
        <v>13.89</v>
      </c>
      <c r="AM132">
        <v>14.97</v>
      </c>
      <c r="AN132">
        <v>14.37</v>
      </c>
      <c r="AO132">
        <v>13.6</v>
      </c>
      <c r="AP132">
        <v>13.5</v>
      </c>
      <c r="AQ132">
        <v>14.47</v>
      </c>
      <c r="AR132" s="112">
        <f t="shared" ca="1" si="36"/>
        <v>13.76</v>
      </c>
    </row>
    <row r="133" spans="1:44" x14ac:dyDescent="0.35">
      <c r="A133" t="s">
        <v>160</v>
      </c>
      <c r="B133" t="s">
        <v>57</v>
      </c>
      <c r="C133" s="36" t="str">
        <f t="shared" si="16"/>
        <v>WBH21</v>
      </c>
      <c r="D133" s="35">
        <v>267</v>
      </c>
      <c r="E133">
        <v>263</v>
      </c>
      <c r="F133">
        <v>260</v>
      </c>
      <c r="G133">
        <v>262</v>
      </c>
      <c r="H133">
        <v>250</v>
      </c>
      <c r="I133">
        <v>264</v>
      </c>
      <c r="J133">
        <v>257</v>
      </c>
      <c r="K133">
        <v>255</v>
      </c>
      <c r="L133">
        <v>267</v>
      </c>
      <c r="M133">
        <v>251</v>
      </c>
      <c r="N133">
        <v>262</v>
      </c>
      <c r="O133">
        <v>253</v>
      </c>
      <c r="P133">
        <v>253</v>
      </c>
      <c r="Q133">
        <v>257</v>
      </c>
      <c r="R133">
        <v>253</v>
      </c>
      <c r="S133">
        <v>251</v>
      </c>
      <c r="T133">
        <v>257</v>
      </c>
      <c r="U133">
        <v>262</v>
      </c>
      <c r="V133">
        <v>254</v>
      </c>
      <c r="W133">
        <v>261</v>
      </c>
      <c r="X133">
        <v>253</v>
      </c>
      <c r="Y133">
        <v>250</v>
      </c>
      <c r="Z133">
        <v>253</v>
      </c>
      <c r="AA133">
        <v>262</v>
      </c>
      <c r="AB133">
        <v>269</v>
      </c>
      <c r="AC133">
        <v>269</v>
      </c>
      <c r="AD133">
        <v>260</v>
      </c>
      <c r="AE133">
        <v>266</v>
      </c>
      <c r="AF133">
        <v>262</v>
      </c>
      <c r="AG133">
        <v>269</v>
      </c>
      <c r="AH133">
        <v>269</v>
      </c>
      <c r="AI133">
        <v>256</v>
      </c>
      <c r="AJ133">
        <v>269</v>
      </c>
      <c r="AK133">
        <v>262</v>
      </c>
      <c r="AL133">
        <v>265</v>
      </c>
      <c r="AM133">
        <v>258</v>
      </c>
      <c r="AN133">
        <v>255</v>
      </c>
      <c r="AO133">
        <v>259</v>
      </c>
      <c r="AP133">
        <v>251</v>
      </c>
      <c r="AQ133">
        <v>267</v>
      </c>
      <c r="AR133" s="112">
        <f t="shared" ref="AQ133:AR135" ca="1" si="37">RANDBETWEEN(250,270)</f>
        <v>265</v>
      </c>
    </row>
    <row r="134" spans="1:44" x14ac:dyDescent="0.35">
      <c r="A134" t="s">
        <v>160</v>
      </c>
      <c r="B134" t="s">
        <v>26</v>
      </c>
      <c r="C134" s="36" t="str">
        <f t="shared" si="16"/>
        <v>WBK20</v>
      </c>
      <c r="D134" s="35">
        <v>269</v>
      </c>
      <c r="E134">
        <v>257</v>
      </c>
      <c r="F134">
        <v>252</v>
      </c>
      <c r="G134">
        <v>252</v>
      </c>
      <c r="H134">
        <v>269</v>
      </c>
      <c r="I134">
        <v>250</v>
      </c>
      <c r="J134">
        <v>252</v>
      </c>
      <c r="K134">
        <v>264</v>
      </c>
      <c r="L134">
        <v>263</v>
      </c>
      <c r="M134">
        <v>265</v>
      </c>
      <c r="N134">
        <v>250</v>
      </c>
      <c r="O134">
        <v>270</v>
      </c>
      <c r="P134">
        <v>259</v>
      </c>
      <c r="Q134">
        <v>259</v>
      </c>
      <c r="R134">
        <v>268</v>
      </c>
      <c r="S134">
        <v>264</v>
      </c>
      <c r="T134">
        <v>267</v>
      </c>
      <c r="U134">
        <v>264</v>
      </c>
      <c r="V134">
        <v>256</v>
      </c>
      <c r="W134">
        <v>265</v>
      </c>
      <c r="X134">
        <v>261</v>
      </c>
      <c r="Y134">
        <v>258</v>
      </c>
      <c r="Z134">
        <v>262</v>
      </c>
      <c r="AA134">
        <v>255</v>
      </c>
      <c r="AB134">
        <v>253</v>
      </c>
      <c r="AC134">
        <v>252</v>
      </c>
      <c r="AD134">
        <v>266</v>
      </c>
      <c r="AE134">
        <v>253</v>
      </c>
      <c r="AF134">
        <v>259</v>
      </c>
      <c r="AG134">
        <v>253</v>
      </c>
      <c r="AH134">
        <v>264</v>
      </c>
      <c r="AI134">
        <v>265</v>
      </c>
      <c r="AJ134">
        <v>255</v>
      </c>
      <c r="AK134">
        <v>254</v>
      </c>
      <c r="AL134">
        <v>260</v>
      </c>
      <c r="AM134">
        <v>267</v>
      </c>
      <c r="AN134">
        <v>263</v>
      </c>
      <c r="AO134">
        <v>252</v>
      </c>
      <c r="AP134">
        <v>269</v>
      </c>
      <c r="AQ134">
        <v>269</v>
      </c>
      <c r="AR134" s="112">
        <f t="shared" ca="1" si="37"/>
        <v>255</v>
      </c>
    </row>
    <row r="135" spans="1:44" s="33" customFormat="1" x14ac:dyDescent="0.35">
      <c r="A135" s="33" t="s">
        <v>160</v>
      </c>
      <c r="B135" s="33" t="s">
        <v>41</v>
      </c>
      <c r="C135" s="37" t="str">
        <f t="shared" si="16"/>
        <v>WBV20</v>
      </c>
      <c r="D135" s="76">
        <v>259</v>
      </c>
      <c r="E135" s="33">
        <v>263</v>
      </c>
      <c r="F135" s="33">
        <v>263</v>
      </c>
      <c r="G135" s="33">
        <v>269</v>
      </c>
      <c r="H135" s="33">
        <v>251</v>
      </c>
      <c r="I135" s="33">
        <v>252</v>
      </c>
      <c r="J135" s="33">
        <v>254</v>
      </c>
      <c r="K135" s="33">
        <v>261</v>
      </c>
      <c r="L135" s="33">
        <v>263</v>
      </c>
      <c r="M135" s="33">
        <v>263</v>
      </c>
      <c r="N135" s="33">
        <v>250</v>
      </c>
      <c r="O135" s="33">
        <v>263</v>
      </c>
      <c r="P135" s="33">
        <v>251</v>
      </c>
      <c r="Q135" s="33">
        <v>256</v>
      </c>
      <c r="R135" s="33">
        <v>261</v>
      </c>
      <c r="S135" s="33">
        <v>267</v>
      </c>
      <c r="T135" s="33">
        <v>269</v>
      </c>
      <c r="U135" s="33">
        <v>251</v>
      </c>
      <c r="V135" s="33">
        <v>259</v>
      </c>
      <c r="W135" s="33">
        <v>259</v>
      </c>
      <c r="X135" s="33">
        <v>250</v>
      </c>
      <c r="Y135" s="33">
        <v>252</v>
      </c>
      <c r="Z135" s="33">
        <v>264</v>
      </c>
      <c r="AA135" s="33">
        <v>270</v>
      </c>
      <c r="AB135" s="33">
        <v>256</v>
      </c>
      <c r="AC135" s="33">
        <v>262</v>
      </c>
      <c r="AD135" s="33">
        <v>258</v>
      </c>
      <c r="AE135" s="33">
        <v>256</v>
      </c>
      <c r="AF135" s="33">
        <v>258</v>
      </c>
      <c r="AG135" s="33">
        <v>269</v>
      </c>
      <c r="AH135" s="33">
        <v>259</v>
      </c>
      <c r="AI135" s="33">
        <v>259</v>
      </c>
      <c r="AJ135" s="33">
        <v>254</v>
      </c>
      <c r="AK135" s="33">
        <v>260</v>
      </c>
      <c r="AL135" s="33">
        <v>261</v>
      </c>
      <c r="AM135" s="33">
        <v>252</v>
      </c>
      <c r="AN135" s="33">
        <v>262</v>
      </c>
      <c r="AO135" s="33">
        <v>255</v>
      </c>
      <c r="AP135" s="33">
        <v>254</v>
      </c>
      <c r="AQ135" s="33">
        <v>259</v>
      </c>
      <c r="AR135" s="119">
        <f t="shared" ca="1" si="37"/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F522-EB52-DB48-98FA-EEB8D86732A3}">
  <sheetPr>
    <tabColor rgb="FFFFC000"/>
  </sheetPr>
  <dimension ref="A1:Y78"/>
  <sheetViews>
    <sheetView zoomScale="70" zoomScaleNormal="70" workbookViewId="0">
      <pane xSplit="2" ySplit="1" topLeftCell="K14" activePane="bottomRight" state="frozen"/>
      <selection pane="topRight" activeCell="C1" sqref="C1"/>
      <selection pane="bottomLeft" activeCell="A2" sqref="A2"/>
      <selection pane="bottomRight" activeCell="P37" sqref="P37"/>
    </sheetView>
  </sheetViews>
  <sheetFormatPr defaultColWidth="10.6640625" defaultRowHeight="15.5" x14ac:dyDescent="0.35"/>
  <cols>
    <col min="1" max="10" width="11" style="1" customWidth="1"/>
    <col min="11" max="11" width="11" style="85" customWidth="1"/>
    <col min="12" max="12" width="19.08203125" style="85" customWidth="1"/>
    <col min="13" max="13" width="13.33203125" style="4" customWidth="1"/>
    <col min="14" max="14" width="13.1640625" style="1" customWidth="1"/>
    <col min="15" max="15" width="10.83203125" style="1"/>
    <col min="16" max="17" width="14.6640625" style="1" customWidth="1"/>
    <col min="18" max="18" width="10.83203125" style="1"/>
    <col min="19" max="20" width="10.83203125" style="22"/>
    <col min="21" max="21" width="10.6640625" style="22"/>
  </cols>
  <sheetData>
    <row r="1" spans="1:25" x14ac:dyDescent="0.35">
      <c r="A1" s="5" t="s">
        <v>0</v>
      </c>
      <c r="B1" s="5" t="s">
        <v>127</v>
      </c>
      <c r="C1" s="5" t="s">
        <v>11</v>
      </c>
      <c r="D1" s="5" t="s">
        <v>2</v>
      </c>
      <c r="E1" s="5" t="s">
        <v>5</v>
      </c>
      <c r="F1" s="5" t="s">
        <v>183</v>
      </c>
      <c r="G1" s="5" t="s">
        <v>197</v>
      </c>
      <c r="H1" s="5" t="s">
        <v>132</v>
      </c>
      <c r="I1" s="5" t="s">
        <v>198</v>
      </c>
      <c r="J1" s="5" t="s">
        <v>184</v>
      </c>
      <c r="K1" s="125" t="s">
        <v>185</v>
      </c>
      <c r="L1" s="125" t="s">
        <v>168</v>
      </c>
      <c r="M1" s="6" t="s">
        <v>169</v>
      </c>
      <c r="N1" s="5" t="s">
        <v>126</v>
      </c>
      <c r="O1" s="5" t="s">
        <v>134</v>
      </c>
      <c r="P1" s="5" t="s">
        <v>227</v>
      </c>
      <c r="Q1" s="5" t="s">
        <v>128</v>
      </c>
      <c r="R1" s="5" t="s">
        <v>131</v>
      </c>
      <c r="S1" s="21" t="s">
        <v>167</v>
      </c>
      <c r="T1" s="21" t="s">
        <v>182</v>
      </c>
      <c r="U1" s="21" t="s">
        <v>279</v>
      </c>
      <c r="V1" s="21" t="s">
        <v>180</v>
      </c>
      <c r="W1" s="21" t="s">
        <v>181</v>
      </c>
      <c r="X1" s="21" t="s">
        <v>280</v>
      </c>
    </row>
    <row r="2" spans="1:25" x14ac:dyDescent="0.35">
      <c r="A2" s="2">
        <v>43832</v>
      </c>
      <c r="B2" s="1" t="s">
        <v>1</v>
      </c>
      <c r="C2" s="1" t="s">
        <v>3</v>
      </c>
      <c r="D2" s="1" t="s">
        <v>4</v>
      </c>
      <c r="E2" s="3">
        <v>31.3</v>
      </c>
      <c r="F2" s="1">
        <f>-37*4</f>
        <v>-148</v>
      </c>
      <c r="G2" s="1" t="s">
        <v>186</v>
      </c>
      <c r="H2" s="1" t="s">
        <v>14</v>
      </c>
      <c r="I2" s="1" t="s">
        <v>199</v>
      </c>
      <c r="J2" s="3">
        <f>E2-E3</f>
        <v>-0.64999999999999858</v>
      </c>
      <c r="K2" s="126">
        <v>-0.55000000000000004</v>
      </c>
      <c r="L2" s="85" t="str">
        <f>G2&amp;"_"&amp;H2&amp;"_"&amp;I2&amp;"_"&amp;C2</f>
        <v>LV_OS_fund_BO</v>
      </c>
      <c r="M2" s="4" t="str">
        <f>C2&amp;D2</f>
        <v>BON20</v>
      </c>
      <c r="N2" s="106">
        <f t="shared" ref="N2:N17" si="0">VLOOKUP(C2,exchange,9,0)*F2</f>
        <v>-4027.9050357884807</v>
      </c>
      <c r="O2" s="107">
        <f t="shared" ref="O2:O17" si="1">VLOOKUP(C2,exchange,10,0)*E2/VLOOKUP(VLOOKUP(C2,exchange,14,0),realtimepx,2,0)</f>
        <v>690.04606000000001</v>
      </c>
      <c r="P2" s="108">
        <f t="shared" ref="P2:P16" si="2">(N2*O2)</f>
        <v>-2779440</v>
      </c>
      <c r="Q2" s="20">
        <f>ABS(P2)</f>
        <v>2779440</v>
      </c>
      <c r="R2" s="39">
        <f t="shared" ref="R2:R17" si="3">ABS(VLOOKUP(C2,exchange,11,0)*F2/VLOOKUP(VLOOKUP(C2,exchange,14,0),realtimepx,2,0))</f>
        <v>115.44</v>
      </c>
      <c r="S2" s="22">
        <f t="shared" ref="S2:S17" si="4">VLOOKUP(M2,realtimepx,2,0)/VLOOKUP(VLOOKUP(C2,exchange,14,0),realtimepx,2,0)</f>
        <v>31.18</v>
      </c>
      <c r="T2" s="22">
        <f ca="1">VLOOKUP(M2,pricedata!$C:$EQ,assumptions!$C$3-3,0)/VLOOKUP(VLOOKUP(C2,exchange,14,0),realtimepx,2,0)</f>
        <v>30.13</v>
      </c>
      <c r="U2" s="22" cm="1">
        <f t="array" aca="1" ref="U2" ca="1">VLOOKUP(M2,pricedata!$C:$EQ,_xlfn.SINGLE(assumptions!$C$3)-4,0)/VLOOKUP(VLOOKUP(C2,exchange,14,0),realtimepx,2,0)</f>
        <v>31.92</v>
      </c>
      <c r="V2" s="77">
        <f t="shared" ref="V2:V17" si="5">(VLOOKUP(C2,exchange,10,0)*S2-O2)*N2</f>
        <v>10656.000000000347</v>
      </c>
      <c r="W2" s="77">
        <f t="shared" ref="W2:W17" ca="1" si="6">(VLOOKUP(C2,exchange,10,0)*T2-O2)*N2</f>
        <v>103896.00000000031</v>
      </c>
      <c r="X2" s="77">
        <f ca="1">(VLOOKUP(C2,exchange,10,0)*U2-O2)*N2</f>
        <v>-55055.999999999891</v>
      </c>
      <c r="Y2" s="78"/>
    </row>
    <row r="3" spans="1:25" x14ac:dyDescent="0.35">
      <c r="A3" s="2">
        <v>43832</v>
      </c>
      <c r="B3" s="1" t="s">
        <v>1</v>
      </c>
      <c r="C3" s="1" t="s">
        <v>3</v>
      </c>
      <c r="D3" s="1" t="s">
        <v>6</v>
      </c>
      <c r="E3" s="1">
        <v>31.95</v>
      </c>
      <c r="F3" s="1">
        <v>148</v>
      </c>
      <c r="G3" s="1" t="s">
        <v>186</v>
      </c>
      <c r="H3" s="1" t="s">
        <v>14</v>
      </c>
      <c r="I3" s="1" t="s">
        <v>199</v>
      </c>
      <c r="J3" s="3">
        <f>J2</f>
        <v>-0.64999999999999858</v>
      </c>
      <c r="K3" s="126">
        <v>-0.55000000000000004</v>
      </c>
      <c r="L3" s="85" t="str">
        <f t="shared" ref="L3:L24" si="7">G3&amp;"_"&amp;H3&amp;"_"&amp;I3&amp;"_"&amp;C3</f>
        <v>LV_OS_fund_BO</v>
      </c>
      <c r="M3" s="4" t="str">
        <f>C3&amp;D3</f>
        <v>BOZ20</v>
      </c>
      <c r="N3" s="106">
        <f t="shared" si="0"/>
        <v>4027.9050357884807</v>
      </c>
      <c r="O3" s="107">
        <f t="shared" si="1"/>
        <v>704.37608999999998</v>
      </c>
      <c r="P3" s="108">
        <f t="shared" si="2"/>
        <v>2837160</v>
      </c>
      <c r="Q3" s="20">
        <f t="shared" ref="Q3:Q17" si="8">ABS(P3)</f>
        <v>2837160</v>
      </c>
      <c r="R3" s="39">
        <f t="shared" si="3"/>
        <v>115.44</v>
      </c>
      <c r="S3" s="22">
        <f t="shared" si="4"/>
        <v>32.01</v>
      </c>
      <c r="T3" s="22">
        <f ca="1">VLOOKUP(M3,pricedata!$C:$EQ,assumptions!$C$3-3,0)/VLOOKUP(VLOOKUP(C3,exchange,14,0),realtimepx,2,0)</f>
        <v>31.89</v>
      </c>
      <c r="U3" s="22" cm="1">
        <f t="array" aca="1" ref="U3" ca="1">VLOOKUP(M3,pricedata!$C:$EQ,_xlfn.SINGLE(assumptions!$C$3)-4,0)/VLOOKUP(VLOOKUP(C3,exchange,14,0),realtimepx,2,0)</f>
        <v>31.19</v>
      </c>
      <c r="V3" s="77">
        <f t="shared" si="5"/>
        <v>5327.9999999999454</v>
      </c>
      <c r="W3" s="77">
        <f t="shared" ca="1" si="6"/>
        <v>-5327.9999999999454</v>
      </c>
      <c r="X3" s="77">
        <f ca="1">(VLOOKUP(C3,exchange,10,0)*U3-O3)*N3</f>
        <v>-67487.999999999767</v>
      </c>
      <c r="Y3" s="78"/>
    </row>
    <row r="4" spans="1:25" x14ac:dyDescent="0.35">
      <c r="A4" s="2">
        <v>43833</v>
      </c>
      <c r="B4" s="1" t="s">
        <v>1</v>
      </c>
      <c r="C4" s="1" t="s">
        <v>72</v>
      </c>
      <c r="D4" s="1" t="s">
        <v>29</v>
      </c>
      <c r="E4" s="17">
        <v>600</v>
      </c>
      <c r="F4" s="1">
        <v>20</v>
      </c>
      <c r="G4" s="1" t="s">
        <v>186</v>
      </c>
      <c r="H4" s="1" t="s">
        <v>64</v>
      </c>
      <c r="I4" s="1" t="s">
        <v>200</v>
      </c>
      <c r="J4" s="1">
        <f>E4-E5</f>
        <v>10</v>
      </c>
      <c r="K4" s="85">
        <v>15</v>
      </c>
      <c r="L4" s="85" t="str">
        <f t="shared" si="7"/>
        <v>LV_EN_mnrv_GO</v>
      </c>
      <c r="M4" s="4" t="str">
        <f t="shared" ref="M4:M5" si="9">C4&amp;D4</f>
        <v>GOM20</v>
      </c>
      <c r="N4" s="106">
        <f t="shared" si="0"/>
        <v>2000</v>
      </c>
      <c r="O4" s="107">
        <f t="shared" si="1"/>
        <v>600</v>
      </c>
      <c r="P4" s="108">
        <f t="shared" si="2"/>
        <v>1200000</v>
      </c>
      <c r="Q4" s="20">
        <f t="shared" si="8"/>
        <v>1200000</v>
      </c>
      <c r="R4" s="39">
        <f t="shared" si="3"/>
        <v>22.4</v>
      </c>
      <c r="S4" s="22">
        <f t="shared" si="4"/>
        <v>474</v>
      </c>
      <c r="T4" s="22">
        <f ca="1">VLOOKUP(M4,pricedata!$C:$EQ,assumptions!$C$3-3,0)/VLOOKUP(VLOOKUP(C4,exchange,14,0),realtimepx,2,0)</f>
        <v>518</v>
      </c>
      <c r="U4" s="22" cm="1">
        <f t="array" aca="1" ref="U4" ca="1">VLOOKUP(M4,pricedata!$C:$EQ,_xlfn.SINGLE(assumptions!$C$3)-4,0)/VLOOKUP(VLOOKUP(C4,exchange,14,0),realtimepx,2,0)</f>
        <v>485</v>
      </c>
      <c r="V4" s="77">
        <f t="shared" si="5"/>
        <v>-252000</v>
      </c>
      <c r="W4" s="77">
        <f t="shared" ca="1" si="6"/>
        <v>-164000</v>
      </c>
      <c r="X4" s="77">
        <f ca="1">(VLOOKUP(C4,exchange,10,0)*U4-O4)*N4</f>
        <v>-230000</v>
      </c>
      <c r="Y4" s="78"/>
    </row>
    <row r="5" spans="1:25" x14ac:dyDescent="0.35">
      <c r="A5" s="2">
        <v>43833</v>
      </c>
      <c r="B5" s="1" t="s">
        <v>1</v>
      </c>
      <c r="C5" s="1" t="s">
        <v>72</v>
      </c>
      <c r="D5" s="1" t="s">
        <v>6</v>
      </c>
      <c r="E5" s="1">
        <v>590</v>
      </c>
      <c r="F5" s="1">
        <v>-20</v>
      </c>
      <c r="G5" s="1" t="s">
        <v>186</v>
      </c>
      <c r="H5" s="1" t="s">
        <v>64</v>
      </c>
      <c r="I5" s="1" t="s">
        <v>200</v>
      </c>
      <c r="J5" s="1">
        <f>J4</f>
        <v>10</v>
      </c>
      <c r="K5" s="85">
        <v>15</v>
      </c>
      <c r="L5" s="85" t="str">
        <f t="shared" si="7"/>
        <v>LV_EN_mnrv_GO</v>
      </c>
      <c r="M5" s="4" t="str">
        <f t="shared" si="9"/>
        <v>GOZ20</v>
      </c>
      <c r="N5" s="106">
        <f t="shared" si="0"/>
        <v>-2000</v>
      </c>
      <c r="O5" s="107">
        <f t="shared" si="1"/>
        <v>590</v>
      </c>
      <c r="P5" s="108">
        <f t="shared" si="2"/>
        <v>-1180000</v>
      </c>
      <c r="Q5" s="20">
        <f t="shared" si="8"/>
        <v>1180000</v>
      </c>
      <c r="R5" s="39">
        <f t="shared" si="3"/>
        <v>22.4</v>
      </c>
      <c r="S5" s="22">
        <f t="shared" si="4"/>
        <v>519</v>
      </c>
      <c r="T5" s="22">
        <f ca="1">VLOOKUP(M5,pricedata!$C:$EQ,assumptions!$C$3-3,0)/VLOOKUP(VLOOKUP(C5,exchange,14,0),realtimepx,2,0)</f>
        <v>513</v>
      </c>
      <c r="U5" s="22" cm="1">
        <f t="array" aca="1" ref="U5" ca="1">VLOOKUP(M5,pricedata!$C:$EQ,_xlfn.SINGLE(assumptions!$C$3)-4,0)/VLOOKUP(VLOOKUP(C5,exchange,14,0),realtimepx,2,0)</f>
        <v>533</v>
      </c>
      <c r="V5" s="77">
        <f t="shared" si="5"/>
        <v>142000</v>
      </c>
      <c r="W5" s="77">
        <f t="shared" ca="1" si="6"/>
        <v>154000</v>
      </c>
      <c r="X5" s="77">
        <f ca="1">(VLOOKUP(C5,exchange,10,0)*U5-O5)*N5</f>
        <v>114000</v>
      </c>
      <c r="Y5" s="78"/>
    </row>
    <row r="6" spans="1:25" x14ac:dyDescent="0.35">
      <c r="A6" s="2">
        <v>43836</v>
      </c>
      <c r="B6" s="1" t="s">
        <v>195</v>
      </c>
      <c r="C6" s="1" t="s">
        <v>30</v>
      </c>
      <c r="D6" s="1" t="s">
        <v>4</v>
      </c>
      <c r="E6" s="1">
        <v>950</v>
      </c>
      <c r="F6" s="1">
        <v>-37</v>
      </c>
      <c r="G6" s="1" t="s">
        <v>186</v>
      </c>
      <c r="H6" s="1" t="s">
        <v>31</v>
      </c>
      <c r="I6" s="1" t="s">
        <v>200</v>
      </c>
      <c r="J6" s="1">
        <f>E6-E7</f>
        <v>20</v>
      </c>
      <c r="K6" s="85">
        <v>25</v>
      </c>
      <c r="L6" s="85" t="str">
        <f t="shared" si="7"/>
        <v>LV_GR_mnrv_SB</v>
      </c>
      <c r="M6" s="4" t="str">
        <f t="shared" ref="M6:M13" si="10">C6&amp;D6</f>
        <v>SBN20</v>
      </c>
      <c r="N6" s="106">
        <f t="shared" si="0"/>
        <v>-5035.3837778987481</v>
      </c>
      <c r="O6" s="107">
        <f t="shared" si="1"/>
        <v>349.03000000000003</v>
      </c>
      <c r="P6" s="108">
        <f t="shared" si="2"/>
        <v>-1757500.0000000002</v>
      </c>
      <c r="Q6" s="20">
        <f t="shared" si="8"/>
        <v>1757500.0000000002</v>
      </c>
      <c r="R6" s="39">
        <f t="shared" si="3"/>
        <v>28.86</v>
      </c>
      <c r="S6" s="22">
        <f t="shared" si="4"/>
        <v>942</v>
      </c>
      <c r="T6" s="22">
        <f ca="1">VLOOKUP(M6,pricedata!$C:$EQ,assumptions!$C$3-3,0)/VLOOKUP(VLOOKUP(C6,exchange,14,0),realtimepx,2,0)</f>
        <v>900</v>
      </c>
      <c r="U6" s="22" cm="1">
        <f t="array" aca="1" ref="U6" ca="1">VLOOKUP(M6,pricedata!$C:$EQ,_xlfn.SINGLE(assumptions!$C$3)-4,0)/VLOOKUP(VLOOKUP(C6,exchange,14,0),realtimepx,2,0)</f>
        <v>920</v>
      </c>
      <c r="V6" s="77">
        <f t="shared" si="5"/>
        <v>14800.000000000142</v>
      </c>
      <c r="W6" s="77">
        <f t="shared" ca="1" si="6"/>
        <v>92500.000000000029</v>
      </c>
      <c r="X6" s="77">
        <f ca="1">(VLOOKUP(C6,exchange,10,0)*U6-O6)*N6</f>
        <v>55500.000000000247</v>
      </c>
      <c r="Y6" s="78"/>
    </row>
    <row r="7" spans="1:25" x14ac:dyDescent="0.35">
      <c r="A7" s="2">
        <v>43836</v>
      </c>
      <c r="B7" s="1" t="s">
        <v>195</v>
      </c>
      <c r="C7" s="1" t="s">
        <v>30</v>
      </c>
      <c r="D7" s="1" t="s">
        <v>46</v>
      </c>
      <c r="E7" s="1">
        <v>930</v>
      </c>
      <c r="F7" s="1">
        <v>37</v>
      </c>
      <c r="G7" s="1" t="s">
        <v>186</v>
      </c>
      <c r="H7" s="1" t="s">
        <v>31</v>
      </c>
      <c r="I7" s="1" t="s">
        <v>200</v>
      </c>
      <c r="J7" s="1">
        <f>J6</f>
        <v>20</v>
      </c>
      <c r="K7" s="85">
        <v>25</v>
      </c>
      <c r="L7" s="85" t="str">
        <f t="shared" si="7"/>
        <v>LV_GR_mnrv_SB</v>
      </c>
      <c r="M7" s="4" t="str">
        <f t="shared" si="10"/>
        <v>SBX20</v>
      </c>
      <c r="N7" s="106">
        <f t="shared" si="0"/>
        <v>5035.3837778987481</v>
      </c>
      <c r="O7" s="107">
        <f t="shared" si="1"/>
        <v>341.68200000000002</v>
      </c>
      <c r="P7" s="108">
        <f t="shared" si="2"/>
        <v>1720500.0000000002</v>
      </c>
      <c r="Q7" s="20">
        <f t="shared" si="8"/>
        <v>1720500.0000000002</v>
      </c>
      <c r="R7" s="39">
        <f t="shared" si="3"/>
        <v>28.86</v>
      </c>
      <c r="S7" s="22">
        <f t="shared" si="4"/>
        <v>940</v>
      </c>
      <c r="T7" s="22">
        <f ca="1">VLOOKUP(M7,pricedata!$C:$EQ,assumptions!$C$3-3,0)/VLOOKUP(VLOOKUP(C7,exchange,14,0),realtimepx,2,0)</f>
        <v>895</v>
      </c>
      <c r="U7" s="22" cm="1">
        <f t="array" aca="1" ref="U7" ca="1">VLOOKUP(M7,pricedata!$C:$EQ,_xlfn.SINGLE(assumptions!$C$3)-4,0)/VLOOKUP(VLOOKUP(C7,exchange,14,0),realtimepx,2,0)</f>
        <v>915</v>
      </c>
      <c r="V7" s="77">
        <f t="shared" si="5"/>
        <v>18499.999999999891</v>
      </c>
      <c r="W7" s="77">
        <f t="shared" ca="1" si="6"/>
        <v>-64750.000000000189</v>
      </c>
      <c r="X7" s="77">
        <f ca="1">(VLOOKUP(C7,exchange,10,0)*U7-O7)*N7</f>
        <v>-27750.000000000124</v>
      </c>
      <c r="Y7" s="78"/>
    </row>
    <row r="8" spans="1:25" x14ac:dyDescent="0.35">
      <c r="A8" s="2">
        <v>43840</v>
      </c>
      <c r="B8" s="1" t="s">
        <v>1</v>
      </c>
      <c r="C8" s="1" t="s">
        <v>18</v>
      </c>
      <c r="D8" s="1" t="s">
        <v>4</v>
      </c>
      <c r="E8" s="1">
        <v>2900</v>
      </c>
      <c r="F8" s="1">
        <v>-80</v>
      </c>
      <c r="G8" s="1" t="s">
        <v>186</v>
      </c>
      <c r="H8" s="1" t="s">
        <v>14</v>
      </c>
      <c r="I8" s="1" t="s">
        <v>199</v>
      </c>
      <c r="J8" s="1">
        <f>E8-E9</f>
        <v>100</v>
      </c>
      <c r="L8" s="85" t="str">
        <f t="shared" si="7"/>
        <v>LV_OS_fund_PO</v>
      </c>
      <c r="M8" s="4" t="str">
        <f t="shared" si="10"/>
        <v>PON20</v>
      </c>
      <c r="N8" s="106">
        <f t="shared" si="0"/>
        <v>-2000</v>
      </c>
      <c r="O8" s="107">
        <f t="shared" si="1"/>
        <v>705.01288471823784</v>
      </c>
      <c r="P8" s="108">
        <f t="shared" si="2"/>
        <v>-1410025.7694364756</v>
      </c>
      <c r="Q8" s="20">
        <f t="shared" si="8"/>
        <v>1410025.7694364756</v>
      </c>
      <c r="R8" s="39">
        <f t="shared" si="3"/>
        <v>15.169932416006224</v>
      </c>
      <c r="S8" s="22">
        <f t="shared" si="4"/>
        <v>618.4664754217921</v>
      </c>
      <c r="T8" s="22">
        <f ca="1">VLOOKUP(M8,pricedata!$C:$EQ,assumptions!$C$3-3,0)/VLOOKUP(VLOOKUP(C8,exchange,14,0),realtimepx,2,0)</f>
        <v>645.45145135411087</v>
      </c>
      <c r="U8" s="22" cm="1">
        <f t="array" aca="1" ref="U8" ca="1">VLOOKUP(M8,pricedata!$C:$EQ,_xlfn.SINGLE(assumptions!$C$3)-4,0)/VLOOKUP(VLOOKUP(C8,exchange,14,0),realtimepx,2,0)</f>
        <v>650.79982496231821</v>
      </c>
      <c r="V8" s="77">
        <f t="shared" si="5"/>
        <v>173092.8185928915</v>
      </c>
      <c r="W8" s="77">
        <f t="shared" ca="1" si="6"/>
        <v>119122.86672825394</v>
      </c>
      <c r="X8" s="77">
        <f ca="1">(VLOOKUP(C8,exchange,10,0)*U8-O8)*N8</f>
        <v>108426.11951183926</v>
      </c>
      <c r="Y8" s="78"/>
    </row>
    <row r="9" spans="1:25" x14ac:dyDescent="0.35">
      <c r="A9" s="2">
        <v>43840</v>
      </c>
      <c r="B9" s="1" t="s">
        <v>1</v>
      </c>
      <c r="C9" s="1" t="s">
        <v>18</v>
      </c>
      <c r="D9" s="1" t="s">
        <v>38</v>
      </c>
      <c r="E9" s="1">
        <v>2800</v>
      </c>
      <c r="F9" s="1">
        <v>80</v>
      </c>
      <c r="G9" s="1" t="s">
        <v>186</v>
      </c>
      <c r="H9" s="1" t="s">
        <v>14</v>
      </c>
      <c r="I9" s="1" t="s">
        <v>199</v>
      </c>
      <c r="J9" s="1">
        <f>J8</f>
        <v>100</v>
      </c>
      <c r="L9" s="85" t="str">
        <f t="shared" si="7"/>
        <v>LV_OS_fund_PO</v>
      </c>
      <c r="M9" s="4" t="str">
        <f t="shared" si="10"/>
        <v>POU20</v>
      </c>
      <c r="N9" s="106">
        <f t="shared" si="0"/>
        <v>2000</v>
      </c>
      <c r="O9" s="107">
        <f t="shared" si="1"/>
        <v>680.70209559002274</v>
      </c>
      <c r="P9" s="108">
        <f t="shared" si="2"/>
        <v>1361404.1911800455</v>
      </c>
      <c r="Q9" s="20">
        <f t="shared" si="8"/>
        <v>1361404.1911800455</v>
      </c>
      <c r="R9" s="39">
        <f t="shared" si="3"/>
        <v>15.169932416006224</v>
      </c>
      <c r="S9" s="22">
        <f t="shared" si="4"/>
        <v>599.26095201050225</v>
      </c>
      <c r="T9" s="22">
        <f ca="1">VLOOKUP(M9,pricedata!$C:$EQ,assumptions!$C$3-3,0)/VLOOKUP(VLOOKUP(C9,exchange,14,0),realtimepx,2,0)</f>
        <v>645.69455924539307</v>
      </c>
      <c r="U9" s="22" cm="1">
        <f t="array" aca="1" ref="U9" ca="1">VLOOKUP(M9,pricedata!$C:$EQ,_xlfn.SINGLE(assumptions!$C$3)-4,0)/VLOOKUP(VLOOKUP(C9,exchange,14,0),realtimepx,2,0)</f>
        <v>650.31360917975394</v>
      </c>
      <c r="V9" s="77">
        <f t="shared" si="5"/>
        <v>-162882.28715904098</v>
      </c>
      <c r="W9" s="77">
        <f t="shared" ca="1" si="6"/>
        <v>-70015.072689259337</v>
      </c>
      <c r="X9" s="77">
        <f ca="1">(VLOOKUP(C9,exchange,10,0)*U9-O9)*N9</f>
        <v>-60776.972820537594</v>
      </c>
      <c r="Y9" s="78"/>
    </row>
    <row r="10" spans="1:25" x14ac:dyDescent="0.35">
      <c r="A10" s="2">
        <v>43843</v>
      </c>
      <c r="B10" s="1" t="s">
        <v>1</v>
      </c>
      <c r="C10" s="1" t="s">
        <v>178</v>
      </c>
      <c r="D10" s="1" t="s">
        <v>26</v>
      </c>
      <c r="E10" s="1">
        <v>6000</v>
      </c>
      <c r="F10" s="1">
        <v>250</v>
      </c>
      <c r="G10" s="1" t="s">
        <v>186</v>
      </c>
      <c r="H10" s="1" t="s">
        <v>14</v>
      </c>
      <c r="I10" s="1" t="s">
        <v>201</v>
      </c>
      <c r="J10" s="1">
        <f>E10-E11</f>
        <v>300</v>
      </c>
      <c r="K10" s="85">
        <v>270</v>
      </c>
      <c r="L10" s="85" t="str">
        <f t="shared" si="7"/>
        <v>LV_OS_tech_DP</v>
      </c>
      <c r="M10" s="4" t="str">
        <f t="shared" si="10"/>
        <v>DPK20</v>
      </c>
      <c r="N10" s="106">
        <f t="shared" si="0"/>
        <v>2500</v>
      </c>
      <c r="O10" s="107">
        <f t="shared" si="1"/>
        <v>863.2348286478865</v>
      </c>
      <c r="P10" s="108">
        <f t="shared" si="2"/>
        <v>2158087.0716197165</v>
      </c>
      <c r="Q10" s="20">
        <f t="shared" si="8"/>
        <v>2158087.0716197165</v>
      </c>
      <c r="R10" s="39">
        <f t="shared" si="3"/>
        <v>30.829815308853089</v>
      </c>
      <c r="S10" s="22">
        <f t="shared" si="4"/>
        <v>723.24691393548767</v>
      </c>
      <c r="T10" s="22">
        <f ca="1">VLOOKUP(M10,pricedata!$C:$EQ,assumptions!$C$3-3,0)/VLOOKUP(VLOOKUP(C10,exchange,14,0),realtimepx,2,0)</f>
        <v>765.5454205392341</v>
      </c>
      <c r="U10" s="22" cm="1">
        <f t="array" aca="1" ref="U10" ca="1">VLOOKUP(M10,pricedata!$C:$EQ,_xlfn.SINGLE(assumptions!$C$3)-4,0)/VLOOKUP(VLOOKUP(C10,exchange,14,0),realtimepx,2,0)</f>
        <v>724.25402123557683</v>
      </c>
      <c r="V10" s="77">
        <f t="shared" si="5"/>
        <v>-349969.78678099706</v>
      </c>
      <c r="W10" s="77">
        <f t="shared" ca="1" si="6"/>
        <v>-244223.52027163102</v>
      </c>
      <c r="X10" s="77">
        <f ca="1">(VLOOKUP(C10,exchange,10,0)*U10-O10)*N10</f>
        <v>-347452.01853077416</v>
      </c>
      <c r="Y10" s="78"/>
    </row>
    <row r="11" spans="1:25" x14ac:dyDescent="0.35">
      <c r="A11" s="2">
        <v>43843</v>
      </c>
      <c r="B11" s="1" t="s">
        <v>1</v>
      </c>
      <c r="C11" s="1" t="s">
        <v>178</v>
      </c>
      <c r="D11" s="1" t="s">
        <v>38</v>
      </c>
      <c r="E11" s="1">
        <v>5700</v>
      </c>
      <c r="F11" s="1">
        <v>-250</v>
      </c>
      <c r="G11" s="1" t="s">
        <v>186</v>
      </c>
      <c r="H11" s="1" t="s">
        <v>14</v>
      </c>
      <c r="I11" s="1" t="s">
        <v>201</v>
      </c>
      <c r="J11" s="1">
        <f>J10</f>
        <v>300</v>
      </c>
      <c r="K11" s="85">
        <v>270</v>
      </c>
      <c r="L11" s="85" t="str">
        <f t="shared" si="7"/>
        <v>LV_OS_tech_DP</v>
      </c>
      <c r="M11" s="4" t="str">
        <f t="shared" si="10"/>
        <v>DPU20</v>
      </c>
      <c r="N11" s="106">
        <f t="shared" si="0"/>
        <v>-2500</v>
      </c>
      <c r="O11" s="107">
        <f t="shared" si="1"/>
        <v>820.07308721549225</v>
      </c>
      <c r="P11" s="108">
        <f t="shared" si="2"/>
        <v>-2050182.7180387306</v>
      </c>
      <c r="Q11" s="20">
        <f t="shared" si="8"/>
        <v>2050182.7180387306</v>
      </c>
      <c r="R11" s="39">
        <f t="shared" si="3"/>
        <v>30.829815308853089</v>
      </c>
      <c r="S11" s="22">
        <f t="shared" si="4"/>
        <v>806.26132995712601</v>
      </c>
      <c r="T11" s="22">
        <f ca="1">VLOOKUP(M11,pricedata!$C:$EQ,assumptions!$C$3-3,0)/VLOOKUP(VLOOKUP(C11,exchange,14,0),realtimepx,2,0)</f>
        <v>811.87235634333729</v>
      </c>
      <c r="U11" s="22" cm="1">
        <f t="array" aca="1" ref="U11" ca="1">VLOOKUP(M11,pricedata!$C:$EQ,_xlfn.SINGLE(assumptions!$C$3)-4,0)/VLOOKUP(VLOOKUP(C11,exchange,14,0),realtimepx,2,0)</f>
        <v>822.23117428711191</v>
      </c>
      <c r="V11" s="77">
        <f t="shared" si="5"/>
        <v>34529.393145915608</v>
      </c>
      <c r="W11" s="77">
        <f t="shared" ca="1" si="6"/>
        <v>20501.827180387409</v>
      </c>
      <c r="X11" s="77">
        <f ca="1">(VLOOKUP(C11,exchange,10,0)*U11-O11)*N11</f>
        <v>-5395.217679049154</v>
      </c>
      <c r="Y11" s="78"/>
    </row>
    <row r="12" spans="1:25" x14ac:dyDescent="0.35">
      <c r="A12" s="2">
        <v>43847</v>
      </c>
      <c r="B12" s="1" t="s">
        <v>1</v>
      </c>
      <c r="C12" s="1" t="s">
        <v>63</v>
      </c>
      <c r="D12" s="1" t="s">
        <v>29</v>
      </c>
      <c r="E12" s="1">
        <v>60.5</v>
      </c>
      <c r="F12" s="1">
        <v>-25</v>
      </c>
      <c r="G12" s="1" t="s">
        <v>186</v>
      </c>
      <c r="H12" s="1" t="s">
        <v>64</v>
      </c>
      <c r="I12" s="1" t="s">
        <v>201</v>
      </c>
      <c r="J12" s="3">
        <f>E12-E13</f>
        <v>0.79999999999999716</v>
      </c>
      <c r="K12" s="85">
        <v>1.1000000000000001</v>
      </c>
      <c r="L12" s="85" t="str">
        <f t="shared" si="7"/>
        <v>LV_EN_tech_CO</v>
      </c>
      <c r="M12" s="4" t="str">
        <f t="shared" si="10"/>
        <v>COM20</v>
      </c>
      <c r="N12" s="106">
        <f t="shared" si="0"/>
        <v>-3410.6412005457023</v>
      </c>
      <c r="O12" s="107">
        <f t="shared" si="1"/>
        <v>443.46500000000003</v>
      </c>
      <c r="P12" s="108">
        <f t="shared" si="2"/>
        <v>-1512500</v>
      </c>
      <c r="Q12" s="20">
        <f t="shared" si="8"/>
        <v>1512500</v>
      </c>
      <c r="R12" s="39">
        <f t="shared" si="3"/>
        <v>27.999999999999996</v>
      </c>
      <c r="S12" s="22">
        <f t="shared" si="4"/>
        <v>60</v>
      </c>
      <c r="T12" s="22">
        <f ca="1">VLOOKUP(M12,pricedata!$C:$EQ,assumptions!$C$3-3,0)/VLOOKUP(VLOOKUP(C12,exchange,14,0),realtimepx,2,0)</f>
        <v>57</v>
      </c>
      <c r="U12" s="22" cm="1">
        <f t="array" aca="1" ref="U12" ca="1">VLOOKUP(M12,pricedata!$C:$EQ,_xlfn.SINGLE(assumptions!$C$3)-4,0)/VLOOKUP(VLOOKUP(C12,exchange,14,0),realtimepx,2,0)</f>
        <v>55</v>
      </c>
      <c r="V12" s="77">
        <f t="shared" si="5"/>
        <v>12500.000000000069</v>
      </c>
      <c r="W12" s="77">
        <f t="shared" ca="1" si="6"/>
        <v>87500.000000000087</v>
      </c>
      <c r="X12" s="77">
        <f ca="1">(VLOOKUP(C12,exchange,10,0)*U12-O12)*N12</f>
        <v>137500.00000000017</v>
      </c>
      <c r="Y12" s="78"/>
    </row>
    <row r="13" spans="1:25" x14ac:dyDescent="0.35">
      <c r="A13" s="2">
        <v>43847</v>
      </c>
      <c r="B13" s="1" t="s">
        <v>1</v>
      </c>
      <c r="C13" s="1" t="s">
        <v>63</v>
      </c>
      <c r="D13" s="1" t="s">
        <v>6</v>
      </c>
      <c r="E13" s="1">
        <v>59.7</v>
      </c>
      <c r="F13" s="1">
        <v>25</v>
      </c>
      <c r="G13" s="1" t="s">
        <v>186</v>
      </c>
      <c r="H13" s="1" t="s">
        <v>64</v>
      </c>
      <c r="I13" s="1" t="s">
        <v>201</v>
      </c>
      <c r="J13" s="3">
        <f>J12</f>
        <v>0.79999999999999716</v>
      </c>
      <c r="K13" s="85">
        <v>1.1000000000000001</v>
      </c>
      <c r="L13" s="85" t="str">
        <f t="shared" si="7"/>
        <v>LV_EN_tech_CO</v>
      </c>
      <c r="M13" s="4" t="str">
        <f t="shared" si="10"/>
        <v>COZ20</v>
      </c>
      <c r="N13" s="106">
        <f t="shared" si="0"/>
        <v>3410.6412005457023</v>
      </c>
      <c r="O13" s="107">
        <f t="shared" si="1"/>
        <v>437.601</v>
      </c>
      <c r="P13" s="108">
        <f t="shared" si="2"/>
        <v>1492499.9999999998</v>
      </c>
      <c r="Q13" s="20">
        <f t="shared" si="8"/>
        <v>1492499.9999999998</v>
      </c>
      <c r="R13" s="39">
        <f t="shared" si="3"/>
        <v>27.999999999999996</v>
      </c>
      <c r="S13" s="22">
        <f t="shared" si="4"/>
        <v>60</v>
      </c>
      <c r="T13" s="22">
        <f ca="1">VLOOKUP(M13,pricedata!$C:$EQ,assumptions!$C$3-3,0)/VLOOKUP(VLOOKUP(C13,exchange,14,0),realtimepx,2,0)</f>
        <v>60</v>
      </c>
      <c r="U13" s="22" cm="1">
        <f t="array" aca="1" ref="U13" ca="1">VLOOKUP(M13,pricedata!$C:$EQ,_xlfn.SINGLE(assumptions!$C$3)-4,0)/VLOOKUP(VLOOKUP(C13,exchange,14,0),realtimepx,2,0)</f>
        <v>60</v>
      </c>
      <c r="V13" s="77">
        <f t="shared" si="5"/>
        <v>7500.0000000000409</v>
      </c>
      <c r="W13" s="77">
        <f t="shared" ca="1" si="6"/>
        <v>7500.0000000000409</v>
      </c>
      <c r="X13" s="77">
        <f ca="1">(VLOOKUP(C13,exchange,10,0)*U13-O13)*N13</f>
        <v>7500.0000000000409</v>
      </c>
      <c r="Y13" s="78"/>
    </row>
    <row r="14" spans="1:25" x14ac:dyDescent="0.35">
      <c r="A14" s="2">
        <v>43852</v>
      </c>
      <c r="B14" s="1" t="s">
        <v>1</v>
      </c>
      <c r="C14" s="1" t="s">
        <v>107</v>
      </c>
      <c r="D14" s="1" t="s">
        <v>29</v>
      </c>
      <c r="E14" s="1">
        <v>1550</v>
      </c>
      <c r="F14" s="1">
        <v>30</v>
      </c>
      <c r="G14" s="1" t="s">
        <v>186</v>
      </c>
      <c r="H14" s="1" t="s">
        <v>108</v>
      </c>
      <c r="I14" s="1" t="s">
        <v>202</v>
      </c>
      <c r="J14" s="1">
        <f>E14-E15</f>
        <v>0</v>
      </c>
      <c r="L14" s="85" t="str">
        <f t="shared" si="7"/>
        <v>LV_PM_momt_GC</v>
      </c>
      <c r="M14" s="4" t="str">
        <f t="shared" ref="M14:M16" si="11">C14&amp;D14</f>
        <v>GCM20</v>
      </c>
      <c r="N14" s="109">
        <f t="shared" si="0"/>
        <v>9.3312597200622086E-2</v>
      </c>
      <c r="O14" s="107">
        <f t="shared" si="1"/>
        <v>49832500</v>
      </c>
      <c r="P14" s="108">
        <f t="shared" si="2"/>
        <v>4650000</v>
      </c>
      <c r="Q14" s="20">
        <f t="shared" si="8"/>
        <v>4650000</v>
      </c>
      <c r="R14" s="39">
        <f t="shared" si="3"/>
        <v>33</v>
      </c>
      <c r="S14" s="22">
        <f t="shared" si="4"/>
        <v>1652</v>
      </c>
      <c r="T14" s="22">
        <f ca="1">VLOOKUP(M14,pricedata!$C:$EQ,assumptions!$C$3-3,0)/VLOOKUP(VLOOKUP(C14,exchange,14,0),realtimepx,2,0)</f>
        <v>1631</v>
      </c>
      <c r="U14" s="22" cm="1">
        <f t="array" aca="1" ref="U14" ca="1">VLOOKUP(M14,pricedata!$C:$EQ,_xlfn.SINGLE(assumptions!$C$3)-4,0)/VLOOKUP(VLOOKUP(C14,exchange,14,0),realtimepx,2,0)</f>
        <v>1601</v>
      </c>
      <c r="V14" s="77">
        <f t="shared" si="5"/>
        <v>306000</v>
      </c>
      <c r="W14" s="77">
        <f t="shared" ca="1" si="6"/>
        <v>243000</v>
      </c>
      <c r="X14" s="77">
        <f ca="1">(VLOOKUP(C14,exchange,10,0)*U14-O14)*N14</f>
        <v>153000</v>
      </c>
      <c r="Y14" s="78"/>
    </row>
    <row r="15" spans="1:25" x14ac:dyDescent="0.35">
      <c r="A15" s="2">
        <v>43852</v>
      </c>
      <c r="B15" s="1" t="s">
        <v>1</v>
      </c>
      <c r="C15" s="1" t="s">
        <v>107</v>
      </c>
      <c r="D15" s="1" t="s">
        <v>6</v>
      </c>
      <c r="E15" s="1">
        <v>1550</v>
      </c>
      <c r="F15" s="1">
        <v>-30</v>
      </c>
      <c r="G15" s="1" t="s">
        <v>186</v>
      </c>
      <c r="H15" s="1" t="s">
        <v>108</v>
      </c>
      <c r="I15" s="1" t="s">
        <v>202</v>
      </c>
      <c r="J15" s="1">
        <f>J14</f>
        <v>0</v>
      </c>
      <c r="L15" s="85" t="str">
        <f t="shared" si="7"/>
        <v>LV_PM_momt_GC</v>
      </c>
      <c r="M15" s="4" t="str">
        <f t="shared" si="11"/>
        <v>GCZ20</v>
      </c>
      <c r="N15" s="109">
        <f t="shared" si="0"/>
        <v>-9.3312597200622086E-2</v>
      </c>
      <c r="O15" s="107">
        <f t="shared" si="1"/>
        <v>49832500</v>
      </c>
      <c r="P15" s="108">
        <f t="shared" si="2"/>
        <v>-4650000</v>
      </c>
      <c r="Q15" s="20">
        <f t="shared" si="8"/>
        <v>4650000</v>
      </c>
      <c r="R15" s="39">
        <f t="shared" si="3"/>
        <v>33</v>
      </c>
      <c r="S15" s="22">
        <f t="shared" si="4"/>
        <v>1550</v>
      </c>
      <c r="T15" s="22">
        <f ca="1">VLOOKUP(M15,pricedata!$C:$EQ,assumptions!$C$3-3,0)/VLOOKUP(VLOOKUP(C15,exchange,14,0),realtimepx,2,0)</f>
        <v>1535</v>
      </c>
      <c r="U15" s="22" cm="1">
        <f t="array" aca="1" ref="U15" ca="1">VLOOKUP(M15,pricedata!$C:$EQ,_xlfn.SINGLE(assumptions!$C$3)-4,0)/VLOOKUP(VLOOKUP(C15,exchange,14,0),realtimepx,2,0)</f>
        <v>1533</v>
      </c>
      <c r="V15" s="77">
        <f t="shared" si="5"/>
        <v>0</v>
      </c>
      <c r="W15" s="77">
        <f t="shared" ca="1" si="6"/>
        <v>45000</v>
      </c>
      <c r="X15" s="77">
        <f ca="1">(VLOOKUP(C15,exchange,10,0)*U15-O15)*N15</f>
        <v>51000</v>
      </c>
      <c r="Y15" s="78"/>
    </row>
    <row r="16" spans="1:25" x14ac:dyDescent="0.35">
      <c r="A16" s="2">
        <v>43864</v>
      </c>
      <c r="B16" s="1" t="s">
        <v>1</v>
      </c>
      <c r="C16" s="1" t="s">
        <v>97</v>
      </c>
      <c r="D16" s="1" t="s">
        <v>41</v>
      </c>
      <c r="E16" s="1">
        <v>14.3</v>
      </c>
      <c r="F16" s="1">
        <v>15</v>
      </c>
      <c r="G16" s="1" t="s">
        <v>187</v>
      </c>
      <c r="H16" s="1" t="s">
        <v>94</v>
      </c>
      <c r="I16" s="1" t="s">
        <v>199</v>
      </c>
      <c r="J16" s="1">
        <v>14.3</v>
      </c>
      <c r="K16" s="85">
        <v>13.9</v>
      </c>
      <c r="L16" s="85" t="str">
        <f t="shared" si="7"/>
        <v>HV_SF_fund_SG</v>
      </c>
      <c r="M16" s="4" t="str">
        <f t="shared" si="11"/>
        <v>SGV20</v>
      </c>
      <c r="N16" s="106">
        <f t="shared" si="0"/>
        <v>762.03608785187475</v>
      </c>
      <c r="O16" s="107">
        <f t="shared" si="1"/>
        <v>315.26065999999997</v>
      </c>
      <c r="P16" s="108">
        <f t="shared" si="2"/>
        <v>240240</v>
      </c>
      <c r="Q16" s="20">
        <f t="shared" si="8"/>
        <v>240240</v>
      </c>
      <c r="R16" s="39">
        <f t="shared" si="3"/>
        <v>16.5</v>
      </c>
      <c r="S16" s="22">
        <f t="shared" si="4"/>
        <v>14.47</v>
      </c>
      <c r="T16" s="22">
        <f ca="1">VLOOKUP(M16,pricedata!$C:$EQ,assumptions!$C$3-3,0)/VLOOKUP(VLOOKUP(C16,exchange,14,0),realtimepx,2,0)</f>
        <v>13.6</v>
      </c>
      <c r="U16" s="22" cm="1">
        <f t="array" aca="1" ref="U16" ca="1">VLOOKUP(M16,pricedata!$C:$EQ,_xlfn.SINGLE(assumptions!$C$3)-4,0)/VLOOKUP(VLOOKUP(C16,exchange,14,0),realtimepx,2,0)</f>
        <v>14.37</v>
      </c>
      <c r="V16" s="77">
        <f t="shared" si="5"/>
        <v>2856.0000000000141</v>
      </c>
      <c r="W16" s="77">
        <f t="shared" ca="1" si="6"/>
        <v>-11760.000000000009</v>
      </c>
      <c r="X16" s="77">
        <f ca="1">(VLOOKUP(C16,exchange,10,0)*U16-O16)*N16</f>
        <v>1175.9999999999879</v>
      </c>
      <c r="Y16" s="78"/>
    </row>
    <row r="17" spans="1:25" x14ac:dyDescent="0.35">
      <c r="A17" s="2">
        <v>43865</v>
      </c>
      <c r="B17" s="1" t="s">
        <v>195</v>
      </c>
      <c r="C17" s="1" t="s">
        <v>107</v>
      </c>
      <c r="D17" s="1" t="s">
        <v>29</v>
      </c>
      <c r="E17" s="1">
        <v>1550</v>
      </c>
      <c r="F17" s="1">
        <v>10</v>
      </c>
      <c r="G17" s="1" t="s">
        <v>187</v>
      </c>
      <c r="H17" s="1" t="s">
        <v>108</v>
      </c>
      <c r="I17" s="1" t="s">
        <v>202</v>
      </c>
      <c r="J17" s="1">
        <v>1550</v>
      </c>
      <c r="K17" s="85">
        <v>1520</v>
      </c>
      <c r="L17" s="85" t="str">
        <f t="shared" si="7"/>
        <v>HV_PM_momt_GC</v>
      </c>
      <c r="M17" s="4" t="str">
        <f t="shared" ref="M17:M18" si="12">C17&amp;D17</f>
        <v>GCM20</v>
      </c>
      <c r="N17" s="110">
        <f t="shared" si="0"/>
        <v>3.1104199066874026E-2</v>
      </c>
      <c r="O17" s="107">
        <f t="shared" si="1"/>
        <v>49832500</v>
      </c>
      <c r="P17" s="108">
        <f t="shared" ref="P17" si="13">(N17*O17)</f>
        <v>1550000</v>
      </c>
      <c r="Q17" s="20">
        <f t="shared" si="8"/>
        <v>1550000</v>
      </c>
      <c r="R17" s="39">
        <f t="shared" si="3"/>
        <v>11</v>
      </c>
      <c r="S17" s="22">
        <f t="shared" si="4"/>
        <v>1652</v>
      </c>
      <c r="T17" s="22">
        <f ca="1">VLOOKUP(M17,pricedata!$C:$EQ,assumptions!$C$3-3,0)/VLOOKUP(VLOOKUP(C17,exchange,14,0),realtimepx,2,0)</f>
        <v>1631</v>
      </c>
      <c r="U17" s="22" cm="1">
        <f t="array" aca="1" ref="U17" ca="1">VLOOKUP(M17,pricedata!$C:$EQ,_xlfn.SINGLE(assumptions!$C$3)-4,0)/VLOOKUP(VLOOKUP(C17,exchange,14,0),realtimepx,2,0)</f>
        <v>1601</v>
      </c>
      <c r="V17" s="77">
        <f t="shared" si="5"/>
        <v>102000</v>
      </c>
      <c r="W17" s="77">
        <f t="shared" ca="1" si="6"/>
        <v>81000</v>
      </c>
      <c r="X17" s="77">
        <f ca="1">(VLOOKUP(C17,exchange,10,0)*U17-O17)*N17</f>
        <v>51000</v>
      </c>
      <c r="Y17" s="78"/>
    </row>
    <row r="18" spans="1:25" x14ac:dyDescent="0.35">
      <c r="A18" s="2">
        <v>43866</v>
      </c>
      <c r="B18" s="1" t="s">
        <v>1</v>
      </c>
      <c r="C18" s="1" t="s">
        <v>33</v>
      </c>
      <c r="D18" s="1" t="s">
        <v>21</v>
      </c>
      <c r="E18" s="1">
        <v>880</v>
      </c>
      <c r="F18" s="1">
        <v>30</v>
      </c>
      <c r="G18" s="1" t="s">
        <v>186</v>
      </c>
      <c r="H18" s="1" t="s">
        <v>31</v>
      </c>
      <c r="I18" s="1" t="s">
        <v>200</v>
      </c>
      <c r="J18" s="1">
        <f>E18-E19</f>
        <v>-10</v>
      </c>
      <c r="L18" s="85" t="str">
        <f t="shared" si="7"/>
        <v>LV_GR_mnrv_WH</v>
      </c>
      <c r="M18" s="4" t="str">
        <f t="shared" ref="M18:M21" si="14">C18&amp;D18</f>
        <v>WHH20</v>
      </c>
      <c r="N18" s="110">
        <f t="shared" ref="N18:N19" si="15">VLOOKUP(C18,exchange,9,0)*F18</f>
        <v>4082.7436037016873</v>
      </c>
      <c r="O18" s="107">
        <f t="shared" ref="O18:O19" si="16">VLOOKUP(C18,exchange,10,0)*E18/VLOOKUP(VLOOKUP(C18,exchange,14,0),realtimepx,2,0)</f>
        <v>323.31200000000001</v>
      </c>
      <c r="P18" s="108">
        <f t="shared" ref="P18:P19" si="17">(N18*O18)</f>
        <v>1320000</v>
      </c>
      <c r="Q18" s="20">
        <f t="shared" ref="Q18:Q19" si="18">ABS(P18)</f>
        <v>1320000</v>
      </c>
      <c r="R18" s="39">
        <f t="shared" ref="R18:R19" si="19">ABS(VLOOKUP(C18,exchange,11,0)*F18/VLOOKUP(VLOOKUP(C18,exchange,14,0),realtimepx,2,0))</f>
        <v>23.400000000000002</v>
      </c>
      <c r="S18" s="22">
        <f t="shared" ref="S18:S19" si="20">VLOOKUP(M18,realtimepx,2,0)/VLOOKUP(VLOOKUP(C18,exchange,14,0),realtimepx,2,0)</f>
        <v>947</v>
      </c>
      <c r="T18" s="22">
        <f ca="1">VLOOKUP(M18,pricedata!$C:$EQ,assumptions!$C$3-3,0)/VLOOKUP(VLOOKUP(C18,exchange,14,0),realtimepx,2,0)</f>
        <v>906</v>
      </c>
      <c r="U18" s="22" cm="1">
        <f t="array" aca="1" ref="U18" ca="1">VLOOKUP(M18,pricedata!$C:$EQ,_xlfn.SINGLE(assumptions!$C$3)-4,0)/VLOOKUP(VLOOKUP(C18,exchange,14,0),realtimepx,2,0)</f>
        <v>946</v>
      </c>
      <c r="V18" s="77">
        <f t="shared" ref="V18:V19" si="21">(VLOOKUP(C18,exchange,10,0)*S18-O18)*N18</f>
        <v>100499.99999999991</v>
      </c>
      <c r="W18" s="77">
        <f t="shared" ref="W18:W19" ca="1" si="22">(VLOOKUP(C18,exchange,10,0)*T18-O18)*N18</f>
        <v>38999.999999999905</v>
      </c>
      <c r="X18" s="77">
        <f ca="1">(VLOOKUP(C18,exchange,10,0)*U18-O18)*N18</f>
        <v>99000.000000000015</v>
      </c>
      <c r="Y18" s="78"/>
    </row>
    <row r="19" spans="1:25" x14ac:dyDescent="0.35">
      <c r="A19" s="2">
        <v>43866</v>
      </c>
      <c r="B19" s="1" t="s">
        <v>1</v>
      </c>
      <c r="C19" s="1" t="s">
        <v>33</v>
      </c>
      <c r="D19" s="1" t="s">
        <v>26</v>
      </c>
      <c r="E19" s="1">
        <v>890</v>
      </c>
      <c r="F19" s="1">
        <v>-30</v>
      </c>
      <c r="G19" s="1" t="s">
        <v>186</v>
      </c>
      <c r="H19" s="1" t="s">
        <v>31</v>
      </c>
      <c r="I19" s="1" t="s">
        <v>200</v>
      </c>
      <c r="J19" s="1">
        <f>J18</f>
        <v>-10</v>
      </c>
      <c r="L19" s="85" t="str">
        <f t="shared" si="7"/>
        <v>LV_GR_mnrv_WH</v>
      </c>
      <c r="M19" s="4" t="str">
        <f t="shared" si="14"/>
        <v>WHK20</v>
      </c>
      <c r="N19" s="110">
        <f t="shared" si="15"/>
        <v>-4082.7436037016873</v>
      </c>
      <c r="O19" s="107">
        <f t="shared" si="16"/>
        <v>326.98599999999999</v>
      </c>
      <c r="P19" s="108">
        <f t="shared" si="17"/>
        <v>-1335000</v>
      </c>
      <c r="Q19" s="20">
        <f t="shared" si="18"/>
        <v>1335000</v>
      </c>
      <c r="R19" s="39">
        <f t="shared" si="19"/>
        <v>23.400000000000002</v>
      </c>
      <c r="S19" s="22">
        <f t="shared" si="20"/>
        <v>972</v>
      </c>
      <c r="T19" s="22">
        <f ca="1">VLOOKUP(M19,pricedata!$C:$EQ,assumptions!$C$3-3,0)/VLOOKUP(VLOOKUP(C19,exchange,14,0),realtimepx,2,0)</f>
        <v>957</v>
      </c>
      <c r="U19" s="22" cm="1">
        <f t="array" aca="1" ref="U19" ca="1">VLOOKUP(M19,pricedata!$C:$EQ,_xlfn.SINGLE(assumptions!$C$3)-4,0)/VLOOKUP(VLOOKUP(C19,exchange,14,0),realtimepx,2,0)</f>
        <v>900</v>
      </c>
      <c r="V19" s="77">
        <f t="shared" si="21"/>
        <v>-123000</v>
      </c>
      <c r="W19" s="77">
        <f t="shared" ca="1" si="22"/>
        <v>-100500.00000000015</v>
      </c>
      <c r="X19" s="77">
        <f ca="1">(VLOOKUP(C19,exchange,10,0)*U19-O19)*N19</f>
        <v>-15000.000000000142</v>
      </c>
      <c r="Y19" s="78"/>
    </row>
    <row r="20" spans="1:25" x14ac:dyDescent="0.35">
      <c r="A20" s="2">
        <v>43868</v>
      </c>
      <c r="B20" s="1" t="s">
        <v>195</v>
      </c>
      <c r="C20" s="1" t="s">
        <v>39</v>
      </c>
      <c r="D20" s="1" t="s">
        <v>4</v>
      </c>
      <c r="E20" s="1">
        <v>350</v>
      </c>
      <c r="F20" s="1">
        <v>25</v>
      </c>
      <c r="G20" s="1" t="s">
        <v>186</v>
      </c>
      <c r="H20" s="1" t="s">
        <v>31</v>
      </c>
      <c r="I20" s="1" t="s">
        <v>200</v>
      </c>
      <c r="J20" s="1">
        <f>E20-E21</f>
        <v>5</v>
      </c>
      <c r="L20" s="85" t="str">
        <f t="shared" si="7"/>
        <v>LV_GR_mnrv_CN</v>
      </c>
      <c r="M20" s="4" t="str">
        <f t="shared" ref="M20:M29" si="23">C20&amp;D20</f>
        <v>CNN20</v>
      </c>
      <c r="N20" s="110">
        <f t="shared" ref="N20:N29" si="24">VLOOKUP(C20,exchange,9,0)*F20</f>
        <v>3175.8130081300815</v>
      </c>
      <c r="O20" s="107">
        <f t="shared" ref="O20:O29" si="25">VLOOKUP(C20,exchange,10,0)*E20/VLOOKUP(VLOOKUP(C20,exchange,14,0),realtimepx,2,0)</f>
        <v>137.76</v>
      </c>
      <c r="P20" s="108">
        <f t="shared" ref="P20:P29" si="26">(N20*O20)</f>
        <v>437500</v>
      </c>
      <c r="Q20" s="20">
        <f t="shared" ref="Q20:Q29" si="27">ABS(P20)</f>
        <v>437500</v>
      </c>
      <c r="R20" s="39">
        <f t="shared" ref="R20:R29" si="28">ABS(VLOOKUP(C20,exchange,11,0)*F20/VLOOKUP(VLOOKUP(C20,exchange,14,0),realtimepx,2,0))</f>
        <v>19.5</v>
      </c>
      <c r="S20" s="22">
        <f t="shared" ref="S20:S29" si="29">VLOOKUP(M20,realtimepx,2,0)/VLOOKUP(VLOOKUP(C20,exchange,14,0),realtimepx,2,0)</f>
        <v>351</v>
      </c>
      <c r="T20" s="22">
        <f ca="1">VLOOKUP(M20,pricedata!$C:$EQ,assumptions!$C$3-3,0)/VLOOKUP(VLOOKUP(C20,exchange,14,0),realtimepx,2,0)</f>
        <v>336</v>
      </c>
      <c r="U20" s="22" cm="1">
        <f t="array" aca="1" ref="U20" ca="1">VLOOKUP(M20,pricedata!$C:$EQ,_xlfn.SINGLE(assumptions!$C$3)-4,0)/VLOOKUP(VLOOKUP(C20,exchange,14,0),realtimepx,2,0)</f>
        <v>316</v>
      </c>
      <c r="V20" s="77">
        <f t="shared" ref="V20:V29" si="30">(VLOOKUP(C20,exchange,10,0)*S20-O20)*N20</f>
        <v>1250.0000000000655</v>
      </c>
      <c r="W20" s="77">
        <f t="shared" ref="W20:W21" ca="1" si="31">(VLOOKUP(C20,exchange,10,0)*T20-O20)*N20</f>
        <v>-17499.999999999924</v>
      </c>
      <c r="X20" s="77">
        <f ca="1">(VLOOKUP(C20,exchange,10,0)*U20-O20)*N20</f>
        <v>-42499.999999999971</v>
      </c>
      <c r="Y20" s="78"/>
    </row>
    <row r="21" spans="1:25" x14ac:dyDescent="0.35">
      <c r="A21" s="2">
        <v>43868</v>
      </c>
      <c r="B21" s="1" t="s">
        <v>195</v>
      </c>
      <c r="C21" s="1" t="s">
        <v>39</v>
      </c>
      <c r="D21" s="1" t="s">
        <v>6</v>
      </c>
      <c r="E21" s="1">
        <v>345</v>
      </c>
      <c r="F21" s="1">
        <v>-25</v>
      </c>
      <c r="G21" s="1" t="s">
        <v>186</v>
      </c>
      <c r="H21" s="1" t="s">
        <v>31</v>
      </c>
      <c r="I21" s="1" t="s">
        <v>200</v>
      </c>
      <c r="J21" s="1">
        <f>J20</f>
        <v>5</v>
      </c>
      <c r="L21" s="85" t="str">
        <f t="shared" si="7"/>
        <v>LV_GR_mnrv_CN</v>
      </c>
      <c r="M21" s="4" t="str">
        <f t="shared" si="23"/>
        <v>CNZ20</v>
      </c>
      <c r="N21" s="110">
        <f t="shared" si="24"/>
        <v>-3175.8130081300815</v>
      </c>
      <c r="O21" s="107">
        <f t="shared" si="25"/>
        <v>135.792</v>
      </c>
      <c r="P21" s="108">
        <f t="shared" si="26"/>
        <v>-431250</v>
      </c>
      <c r="Q21" s="20">
        <f t="shared" si="27"/>
        <v>431250</v>
      </c>
      <c r="R21" s="39">
        <f t="shared" si="28"/>
        <v>19.5</v>
      </c>
      <c r="S21" s="22">
        <f t="shared" si="29"/>
        <v>370</v>
      </c>
      <c r="T21" s="22">
        <f ca="1">VLOOKUP(M21,pricedata!$C:$EQ,assumptions!$C$3-3,0)/VLOOKUP(VLOOKUP(C21,exchange,14,0),realtimepx,2,0)</f>
        <v>324</v>
      </c>
      <c r="U21" s="22" cm="1">
        <f t="array" aca="1" ref="U21" ca="1">VLOOKUP(M21,pricedata!$C:$EQ,_xlfn.SINGLE(assumptions!$C$3)-4,0)/VLOOKUP(VLOOKUP(C21,exchange,14,0),realtimepx,2,0)</f>
        <v>351</v>
      </c>
      <c r="V21" s="77">
        <f t="shared" si="30"/>
        <v>-31250.000000000011</v>
      </c>
      <c r="W21" s="77">
        <f t="shared" ca="1" si="31"/>
        <v>26250.000000000022</v>
      </c>
      <c r="X21" s="77">
        <f ca="1">(VLOOKUP(C21,exchange,10,0)*U21-O21)*N21</f>
        <v>-7500.0000000000318</v>
      </c>
      <c r="Y21" s="78"/>
    </row>
    <row r="22" spans="1:25" x14ac:dyDescent="0.35">
      <c r="A22" s="2">
        <v>43873</v>
      </c>
      <c r="B22" s="1" t="s">
        <v>1</v>
      </c>
      <c r="C22" s="1" t="s">
        <v>30</v>
      </c>
      <c r="D22" s="1" t="s">
        <v>46</v>
      </c>
      <c r="E22" s="1">
        <v>950</v>
      </c>
      <c r="F22" s="1">
        <f>-10*2</f>
        <v>-20</v>
      </c>
      <c r="G22" s="1" t="s">
        <v>187</v>
      </c>
      <c r="H22" s="1" t="s">
        <v>14</v>
      </c>
      <c r="I22" s="1" t="s">
        <v>199</v>
      </c>
      <c r="J22" s="1">
        <f>(E23*0.022+E24*11/100-E22/100)</f>
        <v>1.6649999999999991</v>
      </c>
      <c r="K22" s="85">
        <v>1.6950000000000001</v>
      </c>
      <c r="L22" s="85" t="str">
        <f>G22&amp;"_"&amp;H22&amp;"_"&amp;I22&amp;"_"&amp;"CRSH"</f>
        <v>HV_OS_fund_CRSH</v>
      </c>
      <c r="M22" s="4" t="str">
        <f t="shared" ref="M22:M26" si="32">C22&amp;D22</f>
        <v>SBX20</v>
      </c>
      <c r="N22" s="110">
        <f t="shared" ref="N22:N24" si="33">VLOOKUP(C22,exchange,9,0)*F22</f>
        <v>-2721.8290691344582</v>
      </c>
      <c r="O22" s="107">
        <f t="shared" ref="O22:O24" si="34">VLOOKUP(C22,exchange,10,0)*E22/VLOOKUP(VLOOKUP(C22,exchange,14,0),realtimepx,2,0)</f>
        <v>349.03000000000003</v>
      </c>
      <c r="P22" s="108">
        <f t="shared" ref="P22:P24" si="35">(N22*O22)</f>
        <v>-950000</v>
      </c>
      <c r="Q22" s="20">
        <f t="shared" ref="Q22:Q24" si="36">ABS(P22)</f>
        <v>950000</v>
      </c>
      <c r="R22" s="39">
        <f t="shared" ref="R22:R24" si="37">ABS(VLOOKUP(C22,exchange,11,0)*F22/VLOOKUP(VLOOKUP(C22,exchange,14,0),realtimepx,2,0))</f>
        <v>15.600000000000001</v>
      </c>
      <c r="S22" s="22">
        <f t="shared" ref="S22:S24" si="38">VLOOKUP(M22,realtimepx,2,0)/VLOOKUP(VLOOKUP(C22,exchange,14,0),realtimepx,2,0)</f>
        <v>940</v>
      </c>
      <c r="T22" s="22">
        <f ca="1">VLOOKUP(M22,pricedata!$C:$EQ,assumptions!$C$3-3,0)/VLOOKUP(VLOOKUP(C22,exchange,14,0),realtimepx,2,0)</f>
        <v>895</v>
      </c>
      <c r="U22" s="22" cm="1">
        <f t="array" aca="1" ref="U22" ca="1">VLOOKUP(M22,pricedata!$C:$EQ,_xlfn.SINGLE(assumptions!$C$3)-4,0)/VLOOKUP(VLOOKUP(C22,exchange,14,0),realtimepx,2,0)</f>
        <v>915</v>
      </c>
      <c r="V22" s="77">
        <f t="shared" ref="V22:V24" si="39">(VLOOKUP(C22,exchange,10,0)*S22-O22)*N22</f>
        <v>10000.000000000095</v>
      </c>
      <c r="W22" s="77">
        <f t="shared" ref="W22:W24" ca="1" si="40">(VLOOKUP(C22,exchange,10,0)*T22-O22)*N22</f>
        <v>55000.000000000138</v>
      </c>
      <c r="X22" s="77">
        <f ca="1">(VLOOKUP(C22,exchange,10,0)*U22-O22)*N22</f>
        <v>35000.000000000102</v>
      </c>
      <c r="Y22" s="78"/>
    </row>
    <row r="23" spans="1:25" x14ac:dyDescent="0.35">
      <c r="A23" s="2">
        <v>43873</v>
      </c>
      <c r="B23" s="1" t="s">
        <v>1</v>
      </c>
      <c r="C23" s="1" t="s">
        <v>25</v>
      </c>
      <c r="D23" s="1" t="s">
        <v>6</v>
      </c>
      <c r="E23" s="1">
        <v>350</v>
      </c>
      <c r="F23" s="1">
        <f>11*2</f>
        <v>22</v>
      </c>
      <c r="G23" s="1" t="s">
        <v>187</v>
      </c>
      <c r="H23" s="1" t="s">
        <v>14</v>
      </c>
      <c r="I23" s="1" t="s">
        <v>199</v>
      </c>
      <c r="J23" s="1">
        <f>J22</f>
        <v>1.6649999999999991</v>
      </c>
      <c r="K23" s="85">
        <f>K22</f>
        <v>1.6950000000000001</v>
      </c>
      <c r="L23" s="85" t="str">
        <f t="shared" ref="L23:L24" si="41">G23&amp;"_"&amp;H23&amp;"_"&amp;I23&amp;"_"&amp;"CRSH"</f>
        <v>HV_OS_fund_CRSH</v>
      </c>
      <c r="M23" s="4" t="str">
        <f t="shared" si="32"/>
        <v>SMZ20</v>
      </c>
      <c r="N23" s="110">
        <f t="shared" si="33"/>
        <v>1995.8269073754875</v>
      </c>
      <c r="O23" s="107">
        <f t="shared" si="34"/>
        <v>3.85805</v>
      </c>
      <c r="P23" s="108">
        <f t="shared" si="35"/>
        <v>7699.9999999999991</v>
      </c>
      <c r="Q23" s="20">
        <f t="shared" si="36"/>
        <v>7699.9999999999991</v>
      </c>
      <c r="R23" s="39">
        <f t="shared" si="37"/>
        <v>17.16</v>
      </c>
      <c r="S23" s="22">
        <f t="shared" si="38"/>
        <v>313</v>
      </c>
      <c r="T23" s="22">
        <f ca="1">VLOOKUP(M23,pricedata!$C:$EQ,assumptions!$C$3-3,0)/VLOOKUP(VLOOKUP(C23,exchange,14,0),realtimepx,2,0)</f>
        <v>306</v>
      </c>
      <c r="U23" s="22" cm="1">
        <f t="array" aca="1" ref="U23" ca="1">VLOOKUP(M23,pricedata!$C:$EQ,_xlfn.SINGLE(assumptions!$C$3)-4,0)/VLOOKUP(VLOOKUP(C23,exchange,14,0),realtimepx,2,0)</f>
        <v>309</v>
      </c>
      <c r="V23" s="77">
        <f t="shared" si="39"/>
        <v>-813.99999999999989</v>
      </c>
      <c r="W23" s="77">
        <f t="shared" ca="1" si="40"/>
        <v>-968.00000000000034</v>
      </c>
      <c r="X23" s="77">
        <f ca="1">(VLOOKUP(C23,exchange,10,0)*U23-O23)*N23</f>
        <v>-901.99999999999989</v>
      </c>
      <c r="Y23" s="78"/>
    </row>
    <row r="24" spans="1:25" x14ac:dyDescent="0.35">
      <c r="A24" s="2">
        <v>43873</v>
      </c>
      <c r="B24" s="1" t="s">
        <v>1</v>
      </c>
      <c r="C24" s="1" t="s">
        <v>3</v>
      </c>
      <c r="D24" s="1" t="s">
        <v>6</v>
      </c>
      <c r="E24" s="1">
        <v>31.5</v>
      </c>
      <c r="F24" s="1">
        <f>9*2</f>
        <v>18</v>
      </c>
      <c r="G24" s="1" t="s">
        <v>187</v>
      </c>
      <c r="H24" s="1" t="s">
        <v>14</v>
      </c>
      <c r="I24" s="1" t="s">
        <v>199</v>
      </c>
      <c r="J24" s="1">
        <f>J23</f>
        <v>1.6649999999999991</v>
      </c>
      <c r="K24" s="85">
        <f>K23</f>
        <v>1.6950000000000001</v>
      </c>
      <c r="L24" s="85" t="str">
        <f t="shared" si="41"/>
        <v>HV_OS_fund_CRSH</v>
      </c>
      <c r="M24" s="4" t="str">
        <f t="shared" si="32"/>
        <v>BOZ20</v>
      </c>
      <c r="N24" s="110">
        <f t="shared" si="33"/>
        <v>489.88034219049086</v>
      </c>
      <c r="O24" s="107">
        <f t="shared" si="34"/>
        <v>694.45529999999997</v>
      </c>
      <c r="P24" s="108">
        <f t="shared" si="35"/>
        <v>340200</v>
      </c>
      <c r="Q24" s="20">
        <f t="shared" si="36"/>
        <v>340200</v>
      </c>
      <c r="R24" s="39">
        <f t="shared" si="37"/>
        <v>14.040000000000001</v>
      </c>
      <c r="S24" s="22">
        <f t="shared" si="38"/>
        <v>32.01</v>
      </c>
      <c r="T24" s="22">
        <f ca="1">VLOOKUP(M24,pricedata!$C:$EQ,assumptions!$C$3-3,0)/VLOOKUP(VLOOKUP(C24,exchange,14,0),realtimepx,2,0)</f>
        <v>31.89</v>
      </c>
      <c r="U24" s="22" cm="1">
        <f t="array" aca="1" ref="U24" ca="1">VLOOKUP(M24,pricedata!$C:$EQ,_xlfn.SINGLE(assumptions!$C$3)-4,0)/VLOOKUP(VLOOKUP(C24,exchange,14,0),realtimepx,2,0)</f>
        <v>31.19</v>
      </c>
      <c r="V24" s="77">
        <f t="shared" si="39"/>
        <v>5507.9999999999982</v>
      </c>
      <c r="W24" s="77">
        <f t="shared" ca="1" si="40"/>
        <v>4212.0000000000118</v>
      </c>
      <c r="X24" s="77">
        <f ca="1">(VLOOKUP(C24,exchange,10,0)*U24-O24)*N24</f>
        <v>-3347.999999999965</v>
      </c>
      <c r="Y24" s="78"/>
    </row>
    <row r="25" spans="1:25" x14ac:dyDescent="0.35">
      <c r="A25" s="2">
        <v>43878</v>
      </c>
      <c r="B25" s="1" t="s">
        <v>1</v>
      </c>
      <c r="C25" s="1" t="s">
        <v>107</v>
      </c>
      <c r="D25" s="1" t="s">
        <v>29</v>
      </c>
      <c r="E25" s="1">
        <v>1620</v>
      </c>
      <c r="F25" s="1">
        <v>40</v>
      </c>
      <c r="G25" s="1" t="s">
        <v>187</v>
      </c>
      <c r="H25" s="1" t="s">
        <v>108</v>
      </c>
      <c r="I25" s="1" t="s">
        <v>202</v>
      </c>
      <c r="J25" s="1">
        <f>E25/E26</f>
        <v>88.52459016393442</v>
      </c>
      <c r="K25" s="85">
        <v>87</v>
      </c>
      <c r="L25" s="85" t="str">
        <f>G25&amp;"_"&amp;H25&amp;"_"&amp;I25&amp;"_"&amp;"GCSI"</f>
        <v>HV_PM_momt_GCSI</v>
      </c>
      <c r="M25" s="4" t="str">
        <f t="shared" ref="M25:M28" si="42">C25&amp;D25</f>
        <v>GCM20</v>
      </c>
      <c r="N25" s="110">
        <f t="shared" ref="N25:N26" si="43">VLOOKUP(C25,exchange,9,0)*F25</f>
        <v>0.1244167962674961</v>
      </c>
      <c r="O25" s="107">
        <f t="shared" ref="O25:O26" si="44">VLOOKUP(C25,exchange,10,0)*E25/VLOOKUP(VLOOKUP(C25,exchange,14,0),realtimepx,2,0)</f>
        <v>52083000</v>
      </c>
      <c r="P25" s="108">
        <f t="shared" ref="P25:P26" si="45">(N25*O25)</f>
        <v>6480000</v>
      </c>
      <c r="Q25" s="20">
        <f t="shared" ref="Q25:Q26" si="46">ABS(P25)</f>
        <v>6480000</v>
      </c>
      <c r="R25" s="39">
        <f t="shared" ref="R25:R26" si="47">ABS(VLOOKUP(C25,exchange,11,0)*F25/VLOOKUP(VLOOKUP(C25,exchange,14,0),realtimepx,2,0))</f>
        <v>44</v>
      </c>
      <c r="S25" s="22">
        <f t="shared" ref="S25:S26" si="48">VLOOKUP(M25,realtimepx,2,0)/VLOOKUP(VLOOKUP(C25,exchange,14,0),realtimepx,2,0)</f>
        <v>1652</v>
      </c>
      <c r="T25" s="22">
        <f ca="1">VLOOKUP(M25,pricedata!$C:$EQ,assumptions!$C$3-3,0)/VLOOKUP(VLOOKUP(C25,exchange,14,0),realtimepx,2,0)</f>
        <v>1631</v>
      </c>
      <c r="U25" s="22" cm="1">
        <f t="array" aca="1" ref="U25" ca="1">VLOOKUP(M25,pricedata!$C:$EQ,_xlfn.SINGLE(assumptions!$C$3)-4,0)/VLOOKUP(VLOOKUP(C25,exchange,14,0),realtimepx,2,0)</f>
        <v>1601</v>
      </c>
      <c r="V25" s="77">
        <f>(VLOOKUP(C25,exchange,10,0)*S25-O25)*N25</f>
        <v>127999.99999999999</v>
      </c>
      <c r="W25" s="77">
        <f t="shared" ref="W25:W26" ca="1" si="49">(VLOOKUP(C25,exchange,10,0)*T25-O25)*N25</f>
        <v>44000</v>
      </c>
      <c r="X25" s="77">
        <f ca="1">(VLOOKUP(C25,exchange,10,0)*U25-O25)*N25</f>
        <v>-76000</v>
      </c>
      <c r="Y25" s="78"/>
    </row>
    <row r="26" spans="1:25" x14ac:dyDescent="0.35">
      <c r="A26" s="2">
        <v>43878</v>
      </c>
      <c r="B26" s="1" t="s">
        <v>1</v>
      </c>
      <c r="C26" s="1" t="s">
        <v>111</v>
      </c>
      <c r="D26" s="1" t="s">
        <v>29</v>
      </c>
      <c r="E26" s="1">
        <v>18.3</v>
      </c>
      <c r="F26" s="1">
        <v>-40</v>
      </c>
      <c r="G26" s="1" t="s">
        <v>187</v>
      </c>
      <c r="H26" s="1" t="s">
        <v>108</v>
      </c>
      <c r="I26" s="1" t="s">
        <v>202</v>
      </c>
      <c r="J26" s="1">
        <f>J25</f>
        <v>88.52459016393442</v>
      </c>
      <c r="K26" s="85">
        <v>87</v>
      </c>
      <c r="L26" s="85" t="str">
        <f>G26&amp;"_"&amp;H26&amp;"_"&amp;I26&amp;"_"&amp;"GCSI"</f>
        <v>HV_PM_momt_GCSI</v>
      </c>
      <c r="M26" s="4" t="str">
        <f t="shared" si="42"/>
        <v>SIM20</v>
      </c>
      <c r="N26" s="110">
        <f t="shared" si="43"/>
        <v>-6.2208398133748055</v>
      </c>
      <c r="O26" s="107">
        <f t="shared" si="44"/>
        <v>588345</v>
      </c>
      <c r="P26" s="108">
        <f t="shared" si="45"/>
        <v>-3660000</v>
      </c>
      <c r="Q26" s="20">
        <f t="shared" si="46"/>
        <v>3660000</v>
      </c>
      <c r="R26" s="39">
        <f t="shared" si="47"/>
        <v>44</v>
      </c>
      <c r="S26" s="22">
        <f t="shared" si="48"/>
        <v>17.62</v>
      </c>
      <c r="T26" s="22">
        <f ca="1">VLOOKUP(M26,pricedata!$C:$EQ,assumptions!$C$3-3,0)/VLOOKUP(VLOOKUP(C26,exchange,14,0),realtimepx,2,0)</f>
        <v>17.61</v>
      </c>
      <c r="U26" s="22" cm="1">
        <f t="array" aca="1" ref="U26" ca="1">VLOOKUP(M26,pricedata!$C:$EQ,_xlfn.SINGLE(assumptions!$C$3)-4,0)/VLOOKUP(VLOOKUP(C26,exchange,14,0),realtimepx,2,0)</f>
        <v>18.37</v>
      </c>
      <c r="V26" s="77">
        <f t="shared" ref="V25:V26" si="50">(VLOOKUP(C26,exchange,10,0)*S26-O26)*N26</f>
        <v>136000</v>
      </c>
      <c r="W26" s="77">
        <f t="shared" ca="1" si="49"/>
        <v>138000</v>
      </c>
      <c r="X26" s="77">
        <f ca="1">(VLOOKUP(C26,exchange,10,0)*U26-O26)*N26</f>
        <v>-14000</v>
      </c>
      <c r="Y26" s="78"/>
    </row>
    <row r="27" spans="1:25" x14ac:dyDescent="0.35">
      <c r="A27" s="2">
        <v>43879</v>
      </c>
      <c r="B27" s="1" t="s">
        <v>1</v>
      </c>
      <c r="C27" s="1" t="s">
        <v>3</v>
      </c>
      <c r="D27" s="1" t="s">
        <v>6</v>
      </c>
      <c r="E27" s="1">
        <v>31.3</v>
      </c>
      <c r="F27" s="1">
        <f>37*2</f>
        <v>74</v>
      </c>
      <c r="G27" s="1" t="s">
        <v>186</v>
      </c>
      <c r="H27" s="1" t="s">
        <v>14</v>
      </c>
      <c r="I27" s="1" t="s">
        <v>199</v>
      </c>
      <c r="J27" s="1">
        <f>E27-E28</f>
        <v>-0.39999999999999858</v>
      </c>
      <c r="L27" s="85" t="str">
        <f t="shared" ref="L27:L29" si="51">G27&amp;"_"&amp;H27&amp;"_"&amp;I27&amp;"_"&amp;C27</f>
        <v>LV_OS_fund_BO</v>
      </c>
      <c r="M27" s="4" t="str">
        <f t="shared" ref="M27:M29" si="52">C27&amp;D27</f>
        <v>BOZ20</v>
      </c>
      <c r="N27" s="110">
        <f t="shared" ref="N27:N28" si="53">VLOOKUP(C27,exchange,9,0)*F27</f>
        <v>2013.9525178942404</v>
      </c>
      <c r="O27" s="107">
        <f t="shared" ref="O27:O28" si="54">VLOOKUP(C27,exchange,10,0)*E27/VLOOKUP(VLOOKUP(C27,exchange,14,0),realtimepx,2,0)</f>
        <v>690.04606000000001</v>
      </c>
      <c r="P27" s="108">
        <f t="shared" ref="P27:P28" si="55">(N27*O27)</f>
        <v>1389720</v>
      </c>
      <c r="Q27" s="20">
        <f t="shared" ref="Q27:Q28" si="56">ABS(P27)</f>
        <v>1389720</v>
      </c>
      <c r="R27" s="39">
        <f t="shared" ref="R27:R28" si="57">ABS(VLOOKUP(C27,exchange,11,0)*F27/VLOOKUP(VLOOKUP(C27,exchange,14,0),realtimepx,2,0))</f>
        <v>57.72</v>
      </c>
      <c r="S27" s="22">
        <f t="shared" ref="S27:S28" si="58">VLOOKUP(M27,realtimepx,2,0)/VLOOKUP(VLOOKUP(C27,exchange,14,0),realtimepx,2,0)</f>
        <v>32.01</v>
      </c>
      <c r="T27" s="22">
        <f ca="1">VLOOKUP(M27,pricedata!$C:$EQ,assumptions!$C$3-3,0)/VLOOKUP(VLOOKUP(C27,exchange,14,0),realtimepx,2,0)</f>
        <v>31.89</v>
      </c>
      <c r="U27" s="22" cm="1">
        <f t="array" aca="1" ref="U27" ca="1">VLOOKUP(M27,pricedata!$C:$EQ,_xlfn.SINGLE(assumptions!$C$3)-4,0)/VLOOKUP(VLOOKUP(C27,exchange,14,0),realtimepx,2,0)</f>
        <v>31.19</v>
      </c>
      <c r="V27" s="77">
        <f t="shared" ref="V27:V28" si="59">(VLOOKUP(C27,exchange,10,0)*S27-O27)*N27</f>
        <v>31523.999999999905</v>
      </c>
      <c r="W27" s="77">
        <f t="shared" ref="W27:W28" ca="1" si="60">(VLOOKUP(C27,exchange,10,0)*T27-O27)*N27</f>
        <v>26195.99999999996</v>
      </c>
      <c r="X27" s="77">
        <f ca="1">(VLOOKUP(C27,exchange,10,0)*U27-O27)*N27</f>
        <v>-4883.99999999995</v>
      </c>
      <c r="Y27" s="78"/>
    </row>
    <row r="28" spans="1:25" x14ac:dyDescent="0.35">
      <c r="A28" s="2">
        <v>43879</v>
      </c>
      <c r="B28" s="1" t="s">
        <v>1</v>
      </c>
      <c r="C28" s="1" t="s">
        <v>3</v>
      </c>
      <c r="D28" s="1" t="s">
        <v>51</v>
      </c>
      <c r="E28" s="1">
        <v>31.7</v>
      </c>
      <c r="F28" s="1">
        <f>-F27</f>
        <v>-74</v>
      </c>
      <c r="G28" s="1" t="s">
        <v>186</v>
      </c>
      <c r="H28" s="1" t="s">
        <v>14</v>
      </c>
      <c r="I28" s="1" t="s">
        <v>199</v>
      </c>
      <c r="J28" s="1">
        <f>J27</f>
        <v>-0.39999999999999858</v>
      </c>
      <c r="L28" s="85" t="str">
        <f t="shared" si="51"/>
        <v>LV_OS_fund_BO</v>
      </c>
      <c r="M28" s="4" t="str">
        <f t="shared" si="52"/>
        <v>BOF21</v>
      </c>
      <c r="N28" s="110">
        <f t="shared" si="53"/>
        <v>-2013.9525178942404</v>
      </c>
      <c r="O28" s="107">
        <f t="shared" si="54"/>
        <v>698.86453999999992</v>
      </c>
      <c r="P28" s="108">
        <f t="shared" si="55"/>
        <v>-1407480</v>
      </c>
      <c r="Q28" s="20">
        <f t="shared" si="56"/>
        <v>1407480</v>
      </c>
      <c r="R28" s="39">
        <f t="shared" si="57"/>
        <v>57.72</v>
      </c>
      <c r="S28" s="22">
        <f t="shared" si="58"/>
        <v>30.84</v>
      </c>
      <c r="T28" s="22">
        <f ca="1">VLOOKUP(M28,pricedata!$C:$EQ,assumptions!$C$3-3,0)/VLOOKUP(VLOOKUP(C28,exchange,14,0),realtimepx,2,0)</f>
        <v>30.79</v>
      </c>
      <c r="U28" s="22" cm="1">
        <f t="array" aca="1" ref="U28" ca="1">VLOOKUP(M28,pricedata!$C:$EQ,_xlfn.SINGLE(assumptions!$C$3)-4,0)/VLOOKUP(VLOOKUP(C28,exchange,14,0),realtimepx,2,0)</f>
        <v>31.37</v>
      </c>
      <c r="V28" s="77">
        <f t="shared" si="59"/>
        <v>38183.999999999833</v>
      </c>
      <c r="W28" s="77">
        <f t="shared" ca="1" si="60"/>
        <v>40404.000000000044</v>
      </c>
      <c r="X28" s="77">
        <f ca="1">(VLOOKUP(C28,exchange,10,0)*U28-O28)*N28</f>
        <v>14651.999999999849</v>
      </c>
      <c r="Y28" s="78"/>
    </row>
    <row r="29" spans="1:25" x14ac:dyDescent="0.35">
      <c r="A29" s="2">
        <v>43881</v>
      </c>
      <c r="B29" s="1" t="s">
        <v>1</v>
      </c>
      <c r="C29" s="1" t="s">
        <v>18</v>
      </c>
      <c r="D29" s="1" t="s">
        <v>26</v>
      </c>
      <c r="E29" s="1">
        <v>2750</v>
      </c>
      <c r="F29" s="1">
        <v>-60</v>
      </c>
      <c r="G29" s="1" t="s">
        <v>187</v>
      </c>
      <c r="H29" s="1" t="s">
        <v>14</v>
      </c>
      <c r="I29" s="1" t="s">
        <v>202</v>
      </c>
      <c r="J29" s="1">
        <f>E29</f>
        <v>2750</v>
      </c>
      <c r="K29" s="85">
        <v>2794</v>
      </c>
      <c r="L29" s="85" t="str">
        <f t="shared" ref="L29:L30" si="61">G29&amp;"_"&amp;H29&amp;"_"&amp;I29&amp;"_"&amp;C29</f>
        <v>HV_OS_momt_PO</v>
      </c>
      <c r="M29" s="4" t="str">
        <f t="shared" ref="M29:M30" si="62">C29&amp;D29</f>
        <v>POK20</v>
      </c>
      <c r="N29" s="110">
        <f t="shared" ref="N29" si="63">VLOOKUP(C29,exchange,9,0)*F29</f>
        <v>-1500</v>
      </c>
      <c r="O29" s="107">
        <f t="shared" ref="O29" si="64">VLOOKUP(C29,exchange,10,0)*E29/VLOOKUP(VLOOKUP(C29,exchange,14,0),realtimepx,2,0)</f>
        <v>668.54670102591524</v>
      </c>
      <c r="P29" s="108">
        <f t="shared" ref="P29" si="65">(N29*O29)</f>
        <v>-1002820.0515388729</v>
      </c>
      <c r="Q29" s="20">
        <f t="shared" ref="Q29" si="66">ABS(P29)</f>
        <v>1002820.0515388729</v>
      </c>
      <c r="R29" s="39">
        <f t="shared" ref="R29" si="67">ABS(VLOOKUP(C29,exchange,11,0)*F29/VLOOKUP(VLOOKUP(C29,exchange,14,0),realtimepx,2,0))</f>
        <v>11.377449312004668</v>
      </c>
      <c r="S29" s="22">
        <f t="shared" ref="S29" si="68">VLOOKUP(M29,realtimepx,2,0)/VLOOKUP(VLOOKUP(C29,exchange,14,0),realtimepx,2,0)</f>
        <v>667.3311615695045</v>
      </c>
      <c r="T29" s="22">
        <f ca="1">VLOOKUP(M29,pricedata!$C:$EQ,assumptions!$C$3-3,0)/VLOOKUP(VLOOKUP(C29,exchange,14,0),realtimepx,2,0)</f>
        <v>636.45645937667132</v>
      </c>
      <c r="U29" s="22" cm="1">
        <f t="array" aca="1" ref="U29" ca="1">VLOOKUP(M29,pricedata!$C:$EQ,_xlfn.SINGLE(assumptions!$C$3)-4,0)/VLOOKUP(VLOOKUP(C29,exchange,14,0),realtimepx,2,0)</f>
        <v>706.47153206593077</v>
      </c>
      <c r="V29" s="77">
        <f t="shared" ref="V29" si="69">(VLOOKUP(C29,exchange,10,0)*S29-O29)*N29</f>
        <v>1823.3091846161074</v>
      </c>
      <c r="W29" s="77">
        <f t="shared" ref="W29" ca="1" si="70">(VLOOKUP(C29,exchange,10,0)*T29-O29)*N29</f>
        <v>48135.362473865884</v>
      </c>
      <c r="X29" s="77">
        <f ca="1">(VLOOKUP(C29,exchange,10,0)*U29-O29)*N29</f>
        <v>-56887.246560023297</v>
      </c>
      <c r="Y29" s="78"/>
    </row>
    <row r="30" spans="1:25" x14ac:dyDescent="0.35">
      <c r="A30" s="2">
        <v>43885</v>
      </c>
      <c r="B30" s="1" t="s">
        <v>195</v>
      </c>
      <c r="C30" s="1" t="s">
        <v>27</v>
      </c>
      <c r="D30" s="1" t="s">
        <v>26</v>
      </c>
      <c r="E30" s="1">
        <v>2714</v>
      </c>
      <c r="F30" s="1">
        <v>200</v>
      </c>
      <c r="G30" s="1" t="s">
        <v>187</v>
      </c>
      <c r="H30" s="1" t="s">
        <v>14</v>
      </c>
      <c r="I30" s="1" t="s">
        <v>293</v>
      </c>
      <c r="J30" s="1">
        <v>2714</v>
      </c>
      <c r="K30" s="85">
        <v>2695</v>
      </c>
      <c r="L30" s="85" t="str">
        <f t="shared" ref="L30" si="71">G30&amp;"_"&amp;H30&amp;"_"&amp;I30&amp;"_"&amp;C30</f>
        <v>HV_OS_even_DS</v>
      </c>
      <c r="M30" s="4" t="str">
        <f t="shared" ref="M30" si="72">C30&amp;D30</f>
        <v>DSK20</v>
      </c>
      <c r="N30" s="110">
        <f t="shared" ref="N30" si="73">VLOOKUP(C30,exchange,9,0)*F30</f>
        <v>2000</v>
      </c>
      <c r="O30" s="107">
        <f t="shared" ref="O30" si="74">VLOOKUP(C30,exchange,10,0)*E30/VLOOKUP(VLOOKUP(C30,exchange,14,0),realtimepx,2,0)</f>
        <v>390.46988749172738</v>
      </c>
      <c r="P30" s="108">
        <f t="shared" ref="P30" si="75">(N30*O30)</f>
        <v>780939.77498345473</v>
      </c>
      <c r="Q30" s="20">
        <f t="shared" ref="Q30" si="76">ABS(P30)</f>
        <v>780939.77498345473</v>
      </c>
      <c r="R30" s="39">
        <f t="shared" ref="R30" si="77">ABS(VLOOKUP(C30,exchange,11,0)*F30/VLOOKUP(VLOOKUP(C30,exchange,14,0),realtimepx,2,0))</f>
        <v>24.66385224708247</v>
      </c>
      <c r="S30" s="22">
        <f t="shared" ref="S30" si="78">VLOOKUP(M30,realtimepx,2,0)/VLOOKUP(VLOOKUP(C30,exchange,14,0),realtimepx,2,0)</f>
        <v>381.98141167668979</v>
      </c>
      <c r="T30" s="22">
        <f ca="1">VLOOKUP(M30,pricedata!$C:$EQ,assumptions!$C$3-3,0)/VLOOKUP(VLOOKUP(C30,exchange,14,0),realtimepx,2,0)</f>
        <v>392.05248467758179</v>
      </c>
      <c r="U30" s="22" cm="1">
        <f t="array" aca="1" ref="U30" ca="1">VLOOKUP(M30,pricedata!$C:$EQ,_xlfn.SINGLE(assumptions!$C$3)-4,0)/VLOOKUP(VLOOKUP(C30,exchange,14,0),realtimepx,2,0)</f>
        <v>373.20519091876963</v>
      </c>
      <c r="V30" s="77">
        <f t="shared" ref="V30" si="79">(VLOOKUP(C30,exchange,10,0)*S30-O30)*N30</f>
        <v>-16976.951630075178</v>
      </c>
      <c r="W30" s="77">
        <f t="shared" ref="W30" ca="1" si="80">(VLOOKUP(C30,exchange,10,0)*T30-O30)*N30</f>
        <v>3165.1943717088216</v>
      </c>
      <c r="X30" s="77">
        <f ca="1">(VLOOKUP(C30,exchange,10,0)*U30-O30)*N30</f>
        <v>-34529.393145915492</v>
      </c>
      <c r="Y30" s="78"/>
    </row>
    <row r="31" spans="1:25" x14ac:dyDescent="0.35">
      <c r="A31" s="2">
        <v>43886</v>
      </c>
      <c r="B31" s="1" t="s">
        <v>1</v>
      </c>
      <c r="C31" s="1" t="s">
        <v>107</v>
      </c>
      <c r="D31" s="1" t="s">
        <v>24</v>
      </c>
      <c r="E31" s="1">
        <v>1680</v>
      </c>
      <c r="F31" s="1">
        <v>10</v>
      </c>
      <c r="G31" s="1" t="s">
        <v>187</v>
      </c>
      <c r="H31" s="1" t="s">
        <v>108</v>
      </c>
      <c r="I31" s="1" t="s">
        <v>202</v>
      </c>
      <c r="J31" s="1">
        <f>E31/E32</f>
        <v>92.307692307692307</v>
      </c>
      <c r="K31" s="85">
        <v>91</v>
      </c>
      <c r="L31" s="85" t="str">
        <f>G31&amp;"_"&amp;H31&amp;"_"&amp;I31&amp;"_"&amp;"GCSI"</f>
        <v>HV_PM_momt_GCSI</v>
      </c>
      <c r="M31" s="4" t="str">
        <f t="shared" ref="M31:M34" si="81">C31&amp;D31</f>
        <v>GCJ20</v>
      </c>
      <c r="N31" s="110">
        <f t="shared" ref="N31:N32" si="82">VLOOKUP(C31,exchange,9,0)*F31</f>
        <v>3.1104199066874026E-2</v>
      </c>
      <c r="O31" s="107">
        <f t="shared" ref="O31:O32" si="83">VLOOKUP(C31,exchange,10,0)*E31/VLOOKUP(VLOOKUP(C31,exchange,14,0),realtimepx,2,0)</f>
        <v>54012000</v>
      </c>
      <c r="P31" s="108">
        <f t="shared" ref="P31:P32" si="84">(N31*O31)</f>
        <v>1680000</v>
      </c>
      <c r="Q31" s="20">
        <f t="shared" ref="Q31:Q32" si="85">ABS(P31)</f>
        <v>1680000</v>
      </c>
      <c r="R31" s="39">
        <f t="shared" ref="R31:R32" si="86">ABS(VLOOKUP(C31,exchange,11,0)*F31/VLOOKUP(VLOOKUP(C31,exchange,14,0),realtimepx,2,0))</f>
        <v>11</v>
      </c>
      <c r="S31" s="22">
        <f t="shared" ref="S31:S32" si="87">VLOOKUP(M31,realtimepx,2,0)/VLOOKUP(VLOOKUP(C31,exchange,14,0),realtimepx,2,0)</f>
        <v>1592</v>
      </c>
      <c r="T31" s="22">
        <f ca="1">VLOOKUP(M31,pricedata!$C:$EQ,assumptions!$C$3-3,0)/VLOOKUP(VLOOKUP(C31,exchange,14,0),realtimepx,2,0)</f>
        <v>1521</v>
      </c>
      <c r="U31" s="22" cm="1">
        <f t="array" aca="1" ref="U31" ca="1">VLOOKUP(M31,pricedata!$C:$EQ,_xlfn.SINGLE(assumptions!$C$3)-4,0)/VLOOKUP(VLOOKUP(C31,exchange,14,0),realtimepx,2,0)</f>
        <v>1588</v>
      </c>
      <c r="V31" s="77">
        <f t="shared" ref="V31:V32" si="88">(VLOOKUP(C31,exchange,10,0)*S31-O31)*N31</f>
        <v>-88000</v>
      </c>
      <c r="W31" s="77">
        <f t="shared" ref="W31:W32" ca="1" si="89">(VLOOKUP(C31,exchange,10,0)*T31-O31)*N31</f>
        <v>-159000</v>
      </c>
      <c r="X31" s="77">
        <f ca="1">(VLOOKUP(C31,exchange,10,0)*U31-O31)*N31</f>
        <v>-92000</v>
      </c>
      <c r="Y31" s="78"/>
    </row>
    <row r="32" spans="1:25" x14ac:dyDescent="0.35">
      <c r="A32" s="2">
        <v>43886</v>
      </c>
      <c r="B32" s="1" t="s">
        <v>1</v>
      </c>
      <c r="C32" s="1" t="s">
        <v>111</v>
      </c>
      <c r="D32" s="1" t="s">
        <v>24</v>
      </c>
      <c r="E32" s="1">
        <v>18.2</v>
      </c>
      <c r="F32" s="1">
        <v>-10</v>
      </c>
      <c r="G32" s="1" t="s">
        <v>187</v>
      </c>
      <c r="H32" s="1" t="s">
        <v>108</v>
      </c>
      <c r="I32" s="1" t="s">
        <v>202</v>
      </c>
      <c r="J32" s="1">
        <f>J31</f>
        <v>92.307692307692307</v>
      </c>
      <c r="K32" s="85">
        <v>91</v>
      </c>
      <c r="L32" s="85" t="str">
        <f>G32&amp;"_"&amp;H32&amp;"_"&amp;I32&amp;"_"&amp;"GCSI"</f>
        <v>HV_PM_momt_GCSI</v>
      </c>
      <c r="M32" s="4" t="str">
        <f t="shared" si="81"/>
        <v>SIJ20</v>
      </c>
      <c r="N32" s="110">
        <f t="shared" si="82"/>
        <v>-1.5552099533437014</v>
      </c>
      <c r="O32" s="107">
        <f t="shared" si="83"/>
        <v>585130</v>
      </c>
      <c r="P32" s="108">
        <f t="shared" si="84"/>
        <v>-910000</v>
      </c>
      <c r="Q32" s="20">
        <f t="shared" si="85"/>
        <v>910000</v>
      </c>
      <c r="R32" s="39">
        <f t="shared" si="86"/>
        <v>11</v>
      </c>
      <c r="S32" s="22">
        <f t="shared" si="87"/>
        <v>17.97</v>
      </c>
      <c r="T32" s="22">
        <f ca="1">VLOOKUP(M32,pricedata!$C:$EQ,assumptions!$C$3-3,0)/VLOOKUP(VLOOKUP(C32,exchange,14,0),realtimepx,2,0)</f>
        <v>17.36</v>
      </c>
      <c r="U32" s="22" cm="1">
        <f t="array" aca="1" ref="U32" ca="1">VLOOKUP(M32,pricedata!$C:$EQ,_xlfn.SINGLE(assumptions!$C$3)-4,0)/VLOOKUP(VLOOKUP(C32,exchange,14,0),realtimepx,2,0)</f>
        <v>17.89</v>
      </c>
      <c r="V32" s="77">
        <f t="shared" si="88"/>
        <v>11500</v>
      </c>
      <c r="W32" s="77">
        <f t="shared" ca="1" si="89"/>
        <v>42000</v>
      </c>
      <c r="X32" s="77">
        <f ca="1">(VLOOKUP(C32,exchange,10,0)*U32-O32)*N32</f>
        <v>15500</v>
      </c>
      <c r="Y32" s="78"/>
    </row>
    <row r="33" spans="1:24" x14ac:dyDescent="0.35">
      <c r="A33" s="2">
        <v>43886</v>
      </c>
      <c r="B33" s="1" t="s">
        <v>1</v>
      </c>
      <c r="C33" s="1" t="s">
        <v>97</v>
      </c>
      <c r="D33" s="1" t="s">
        <v>26</v>
      </c>
      <c r="E33" s="1">
        <v>14.5</v>
      </c>
      <c r="F33" s="1">
        <f>37*2</f>
        <v>74</v>
      </c>
      <c r="G33" s="1" t="s">
        <v>186</v>
      </c>
      <c r="H33" s="1" t="s">
        <v>94</v>
      </c>
      <c r="I33" s="1" t="s">
        <v>201</v>
      </c>
      <c r="J33" s="1">
        <f>E33-E34</f>
        <v>-0.19999999999999929</v>
      </c>
      <c r="L33" s="85" t="str">
        <f t="shared" ref="L33:L36" si="90">G33&amp;"_"&amp;H33&amp;"_"&amp;I33&amp;"_"&amp;C33</f>
        <v>LV_SF_tech_SG</v>
      </c>
      <c r="M33" s="4" t="str">
        <f t="shared" ref="M33:M35" si="91">C33&amp;D33</f>
        <v>SGK20</v>
      </c>
      <c r="N33" s="110">
        <f t="shared" ref="N33:N34" si="92">VLOOKUP(C33,exchange,9,0)*F33</f>
        <v>3759.3780334025823</v>
      </c>
      <c r="O33" s="107">
        <f t="shared" ref="O33:O34" si="93">VLOOKUP(C33,exchange,10,0)*E33/VLOOKUP(VLOOKUP(C33,exchange,14,0),realtimepx,2,0)</f>
        <v>319.66989999999998</v>
      </c>
      <c r="P33" s="108">
        <f t="shared" ref="P33:P34" si="94">(N33*O33)</f>
        <v>1201760</v>
      </c>
      <c r="Q33" s="20">
        <f t="shared" ref="Q33:Q34" si="95">ABS(P33)</f>
        <v>1201760</v>
      </c>
      <c r="R33" s="39">
        <f t="shared" ref="R33:R34" si="96">ABS(VLOOKUP(C33,exchange,11,0)*F33/VLOOKUP(VLOOKUP(C33,exchange,14,0),realtimepx,2,0))</f>
        <v>81.400000000000006</v>
      </c>
      <c r="S33" s="22">
        <f t="shared" ref="S33:S34" si="97">VLOOKUP(M33,realtimepx,2,0)/VLOOKUP(VLOOKUP(C33,exchange,14,0),realtimepx,2,0)</f>
        <v>14.83</v>
      </c>
      <c r="T33" s="22">
        <f ca="1">VLOOKUP(M33,pricedata!$C:$EQ,assumptions!$C$3-3,0)/VLOOKUP(VLOOKUP(C33,exchange,14,0),realtimepx,2,0)</f>
        <v>14.17</v>
      </c>
      <c r="U33" s="22" cm="1">
        <f t="array" aca="1" ref="U33" ca="1">VLOOKUP(M33,pricedata!$C:$EQ,_xlfn.SINGLE(assumptions!$C$3)-4,0)/VLOOKUP(VLOOKUP(C33,exchange,14,0),realtimepx,2,0)</f>
        <v>13.18</v>
      </c>
      <c r="V33" s="77">
        <f t="shared" ref="V33:V34" si="98">(VLOOKUP(C33,exchange,10,0)*S33-O33)*N33</f>
        <v>27350.399999999932</v>
      </c>
      <c r="W33" s="77">
        <f t="shared" ref="W33:W34" ca="1" si="99">(VLOOKUP(C33,exchange,10,0)*T33-O33)*N33</f>
        <v>-27350.399999999932</v>
      </c>
      <c r="X33" s="77">
        <f ca="1">(VLOOKUP(C33,exchange,10,0)*U33-O33)*N33</f>
        <v>-109401.59999999995</v>
      </c>
    </row>
    <row r="34" spans="1:24" x14ac:dyDescent="0.35">
      <c r="A34" s="2">
        <v>43886</v>
      </c>
      <c r="B34" s="1" t="s">
        <v>1</v>
      </c>
      <c r="C34" s="1" t="s">
        <v>97</v>
      </c>
      <c r="D34" s="1" t="s">
        <v>41</v>
      </c>
      <c r="E34" s="1">
        <v>14.7</v>
      </c>
      <c r="F34" s="1">
        <f>-F33</f>
        <v>-74</v>
      </c>
      <c r="G34" s="1" t="s">
        <v>186</v>
      </c>
      <c r="H34" s="1" t="s">
        <v>94</v>
      </c>
      <c r="I34" s="1" t="s">
        <v>201</v>
      </c>
      <c r="J34" s="1">
        <f>J33</f>
        <v>-0.19999999999999929</v>
      </c>
      <c r="L34" s="85" t="str">
        <f t="shared" si="90"/>
        <v>LV_SF_tech_SG</v>
      </c>
      <c r="M34" s="4" t="str">
        <f t="shared" si="91"/>
        <v>SGV20</v>
      </c>
      <c r="N34" s="110">
        <f t="shared" si="92"/>
        <v>-3759.3780334025823</v>
      </c>
      <c r="O34" s="107">
        <f t="shared" si="93"/>
        <v>324.07914</v>
      </c>
      <c r="P34" s="108">
        <f t="shared" si="94"/>
        <v>-1218336.0000000002</v>
      </c>
      <c r="Q34" s="20">
        <f t="shared" si="95"/>
        <v>1218336.0000000002</v>
      </c>
      <c r="R34" s="39">
        <f t="shared" si="96"/>
        <v>81.400000000000006</v>
      </c>
      <c r="S34" s="22">
        <f t="shared" si="97"/>
        <v>14.47</v>
      </c>
      <c r="T34" s="22">
        <f ca="1">VLOOKUP(M34,pricedata!$C:$EQ,assumptions!$C$3-3,0)/VLOOKUP(VLOOKUP(C34,exchange,14,0),realtimepx,2,0)</f>
        <v>13.6</v>
      </c>
      <c r="U34" s="22" cm="1">
        <f t="array" aca="1" ref="U34" ca="1">VLOOKUP(M34,pricedata!$C:$EQ,_xlfn.SINGLE(assumptions!$C$3)-4,0)/VLOOKUP(VLOOKUP(C34,exchange,14,0),realtimepx,2,0)</f>
        <v>14.37</v>
      </c>
      <c r="V34" s="77">
        <f t="shared" si="98"/>
        <v>19062.40000000002</v>
      </c>
      <c r="W34" s="77">
        <f t="shared" ca="1" si="99"/>
        <v>91168.000000000131</v>
      </c>
      <c r="X34" s="77">
        <f ca="1">(VLOOKUP(C34,exchange,10,0)*U34-O34)*N34</f>
        <v>27350.400000000147</v>
      </c>
    </row>
    <row r="35" spans="1:24" x14ac:dyDescent="0.35">
      <c r="A35" s="2">
        <v>43886</v>
      </c>
      <c r="B35" s="1" t="s">
        <v>1</v>
      </c>
      <c r="C35" s="1" t="s">
        <v>72</v>
      </c>
      <c r="D35" s="1" t="s">
        <v>29</v>
      </c>
      <c r="E35" s="1">
        <v>489.5</v>
      </c>
      <c r="F35" s="1">
        <v>30</v>
      </c>
      <c r="G35" s="1" t="s">
        <v>186</v>
      </c>
      <c r="H35" s="1" t="s">
        <v>64</v>
      </c>
      <c r="I35" s="1" t="s">
        <v>202</v>
      </c>
      <c r="J35" s="1">
        <f>E35-E36</f>
        <v>-9.5</v>
      </c>
      <c r="L35" s="85" t="str">
        <f t="shared" ref="L35:L38" si="100">G35&amp;"_"&amp;H35&amp;"_"&amp;I35&amp;"_"&amp;C35</f>
        <v>LV_EN_momt_GO</v>
      </c>
      <c r="M35" s="4" t="str">
        <f t="shared" ref="M35:M38" si="101">C35&amp;D35</f>
        <v>GOM20</v>
      </c>
      <c r="N35" s="110">
        <f t="shared" ref="N35:N36" si="102">VLOOKUP(C35,exchange,9,0)*F35</f>
        <v>3000</v>
      </c>
      <c r="O35" s="107">
        <f t="shared" ref="O35:O36" si="103">VLOOKUP(C35,exchange,10,0)*E35/VLOOKUP(VLOOKUP(C35,exchange,14,0),realtimepx,2,0)</f>
        <v>489.5</v>
      </c>
      <c r="P35" s="108">
        <f t="shared" ref="P35:P36" si="104">(N35*O35)</f>
        <v>1468500</v>
      </c>
      <c r="Q35" s="20">
        <f t="shared" ref="Q35:Q36" si="105">ABS(P35)</f>
        <v>1468500</v>
      </c>
      <c r="R35" s="39">
        <f t="shared" ref="R35:R36" si="106">ABS(VLOOKUP(C35,exchange,11,0)*F35/VLOOKUP(VLOOKUP(C35,exchange,14,0),realtimepx,2,0))</f>
        <v>33.599999999999994</v>
      </c>
      <c r="S35" s="22">
        <f t="shared" ref="S35:S36" si="107">VLOOKUP(M35,realtimepx,2,0)/VLOOKUP(VLOOKUP(C35,exchange,14,0),realtimepx,2,0)</f>
        <v>474</v>
      </c>
      <c r="T35" s="22">
        <f ca="1">VLOOKUP(M35,pricedata!$C:$EQ,assumptions!$C$3-3,0)/VLOOKUP(VLOOKUP(C35,exchange,14,0),realtimepx,2,0)</f>
        <v>518</v>
      </c>
      <c r="U35" s="22" cm="1">
        <f t="array" aca="1" ref="U35" ca="1">VLOOKUP(M35,pricedata!$C:$EQ,_xlfn.SINGLE(assumptions!$C$3)-4,0)/VLOOKUP(VLOOKUP(C35,exchange,14,0),realtimepx,2,0)</f>
        <v>485</v>
      </c>
      <c r="V35" s="77">
        <f t="shared" ref="V35:V36" si="108">(VLOOKUP(C35,exchange,10,0)*S35-O35)*N35</f>
        <v>-46500</v>
      </c>
      <c r="W35" s="77">
        <f t="shared" ref="W35:W36" ca="1" si="109">(VLOOKUP(C35,exchange,10,0)*T35-O35)*N35</f>
        <v>85500</v>
      </c>
      <c r="X35" s="77">
        <f ca="1">(VLOOKUP(C35,exchange,10,0)*U35-O35)*N35</f>
        <v>-13500</v>
      </c>
    </row>
    <row r="36" spans="1:24" x14ac:dyDescent="0.35">
      <c r="A36" s="2">
        <v>43886</v>
      </c>
      <c r="B36" s="1" t="s">
        <v>1</v>
      </c>
      <c r="C36" s="1" t="s">
        <v>72</v>
      </c>
      <c r="D36" s="1" t="s">
        <v>6</v>
      </c>
      <c r="E36" s="1">
        <v>499</v>
      </c>
      <c r="F36" s="1">
        <v>-30</v>
      </c>
      <c r="G36" s="1" t="s">
        <v>186</v>
      </c>
      <c r="H36" s="1" t="s">
        <v>64</v>
      </c>
      <c r="I36" s="1" t="s">
        <v>202</v>
      </c>
      <c r="J36" s="1">
        <f>J35</f>
        <v>-9.5</v>
      </c>
      <c r="L36" s="85" t="str">
        <f t="shared" si="100"/>
        <v>LV_EN_momt_GO</v>
      </c>
      <c r="M36" s="4" t="str">
        <f t="shared" si="101"/>
        <v>GOZ20</v>
      </c>
      <c r="N36" s="110">
        <f t="shared" si="102"/>
        <v>-3000</v>
      </c>
      <c r="O36" s="107">
        <f t="shared" si="103"/>
        <v>499</v>
      </c>
      <c r="P36" s="108">
        <f t="shared" si="104"/>
        <v>-1497000</v>
      </c>
      <c r="Q36" s="20">
        <f t="shared" si="105"/>
        <v>1497000</v>
      </c>
      <c r="R36" s="39">
        <f t="shared" si="106"/>
        <v>33.599999999999994</v>
      </c>
      <c r="S36" s="22">
        <f t="shared" si="107"/>
        <v>519</v>
      </c>
      <c r="T36" s="22">
        <f ca="1">VLOOKUP(M36,pricedata!$C:$EQ,assumptions!$C$3-3,0)/VLOOKUP(VLOOKUP(C36,exchange,14,0),realtimepx,2,0)</f>
        <v>513</v>
      </c>
      <c r="U36" s="22" cm="1">
        <f t="array" aca="1" ref="U36" ca="1">VLOOKUP(M36,pricedata!$C:$EQ,_xlfn.SINGLE(assumptions!$C$3)-4,0)/VLOOKUP(VLOOKUP(C36,exchange,14,0),realtimepx,2,0)</f>
        <v>533</v>
      </c>
      <c r="V36" s="77">
        <f t="shared" si="108"/>
        <v>-60000</v>
      </c>
      <c r="W36" s="77">
        <f t="shared" ca="1" si="109"/>
        <v>-42000</v>
      </c>
      <c r="X36" s="77">
        <f ca="1">(VLOOKUP(C36,exchange,10,0)*U36-O36)*N36</f>
        <v>-102000</v>
      </c>
    </row>
    <row r="37" spans="1:24" x14ac:dyDescent="0.35">
      <c r="A37" s="2">
        <v>43886</v>
      </c>
      <c r="B37" s="1" t="s">
        <v>1</v>
      </c>
      <c r="C37" s="1" t="s">
        <v>22</v>
      </c>
      <c r="D37" s="1" t="s">
        <v>26</v>
      </c>
      <c r="E37" s="1">
        <v>7495</v>
      </c>
      <c r="F37" s="1">
        <v>-150</v>
      </c>
      <c r="G37" s="1" t="s">
        <v>186</v>
      </c>
      <c r="H37" s="1" t="s">
        <v>14</v>
      </c>
      <c r="I37" s="1" t="s">
        <v>200</v>
      </c>
      <c r="J37" s="1">
        <f>E37-E38</f>
        <v>156</v>
      </c>
      <c r="L37" s="85" t="str">
        <f t="shared" ref="L37:L38" si="110">G37&amp;"_"&amp;H37&amp;"_"&amp;I37&amp;"_"&amp;C37</f>
        <v>LV_OS_mnrv_RO</v>
      </c>
      <c r="M37" s="4" t="str">
        <f t="shared" ref="M37:M38" si="111">C37&amp;D37</f>
        <v>ROK20</v>
      </c>
      <c r="N37" s="110">
        <f t="shared" ref="N37:N38" si="112">VLOOKUP(C37,exchange,9,0)*F37</f>
        <v>-1500</v>
      </c>
      <c r="O37" s="107">
        <f t="shared" ref="O37:O38" si="113">VLOOKUP(C37,exchange,10,0)*E37/VLOOKUP(VLOOKUP(C37,exchange,14,0),realtimepx,2,0)</f>
        <v>1078.3241734526516</v>
      </c>
      <c r="P37" s="108">
        <f t="shared" ref="P37:P38" si="114">(N37*O37)</f>
        <v>-1617486.2601789774</v>
      </c>
      <c r="Q37" s="20">
        <f t="shared" ref="Q37:Q38" si="115">ABS(P37)</f>
        <v>1617486.2601789774</v>
      </c>
      <c r="R37" s="39">
        <f t="shared" ref="R37:R38" si="116">ABS(VLOOKUP(C37,exchange,11,0)*F37/VLOOKUP(VLOOKUP(C37,exchange,14,0),realtimepx,2,0))</f>
        <v>18.497889185311852</v>
      </c>
      <c r="S37" s="22">
        <f t="shared" ref="S37:S38" si="117">VLOOKUP(M37,realtimepx,2,0)/VLOOKUP(VLOOKUP(C37,exchange,14,0),realtimepx,2,0)</f>
        <v>1148.965556930337</v>
      </c>
      <c r="T37" s="22">
        <f ca="1">VLOOKUP(M37,pricedata!$C:$EQ,assumptions!$C$3-3,0)/VLOOKUP(VLOOKUP(C37,exchange,14,0),realtimepx,2,0)</f>
        <v>1134.7221822576469</v>
      </c>
      <c r="U37" s="22" cm="1">
        <f t="array" aca="1" ref="U37" ca="1">VLOOKUP(M37,pricedata!$C:$EQ,_xlfn.SINGLE(assumptions!$C$3)-4,0)/VLOOKUP(VLOOKUP(C37,exchange,14,0),realtimepx,2,0)</f>
        <v>1114.2922913129803</v>
      </c>
      <c r="V37" s="77">
        <f t="shared" ref="V37:V38" si="118">(VLOOKUP(C37,exchange,10,0)*S37-O37)*N37</f>
        <v>-105962.07521652809</v>
      </c>
      <c r="W37" s="77">
        <f t="shared" ref="W37:W38" ca="1" si="119">(VLOOKUP(C37,exchange,10,0)*T37-O37)*N37</f>
        <v>-84597.01320749287</v>
      </c>
      <c r="X37" s="77">
        <f ca="1">(VLOOKUP(C37,exchange,10,0)*U37-O37)*N37</f>
        <v>-53952.176790493017</v>
      </c>
    </row>
    <row r="38" spans="1:24" x14ac:dyDescent="0.35">
      <c r="A38" s="2">
        <v>43886</v>
      </c>
      <c r="B38" s="1" t="s">
        <v>1</v>
      </c>
      <c r="C38" s="1" t="s">
        <v>22</v>
      </c>
      <c r="D38" s="1" t="s">
        <v>38</v>
      </c>
      <c r="E38" s="1">
        <v>7339</v>
      </c>
      <c r="F38" s="1">
        <v>150</v>
      </c>
      <c r="G38" s="1" t="s">
        <v>186</v>
      </c>
      <c r="H38" s="1" t="s">
        <v>14</v>
      </c>
      <c r="I38" s="1" t="s">
        <v>200</v>
      </c>
      <c r="J38" s="1">
        <f>J37</f>
        <v>156</v>
      </c>
      <c r="L38" s="85" t="str">
        <f t="shared" si="110"/>
        <v>LV_OS_mnrv_RO</v>
      </c>
      <c r="M38" s="4" t="str">
        <f t="shared" si="111"/>
        <v>ROU20</v>
      </c>
      <c r="N38" s="110">
        <f t="shared" si="112"/>
        <v>1500</v>
      </c>
      <c r="O38" s="107">
        <f t="shared" si="113"/>
        <v>1055.8800679078065</v>
      </c>
      <c r="P38" s="108">
        <f t="shared" si="114"/>
        <v>1583820.1018617097</v>
      </c>
      <c r="Q38" s="20">
        <f t="shared" si="115"/>
        <v>1583820.1018617097</v>
      </c>
      <c r="R38" s="39">
        <f t="shared" si="116"/>
        <v>18.497889185311852</v>
      </c>
      <c r="S38" s="22">
        <f t="shared" si="117"/>
        <v>1111.5587143555952</v>
      </c>
      <c r="T38" s="22">
        <f ca="1">VLOOKUP(M38,pricedata!$C:$EQ,assumptions!$C$3-3,0)/VLOOKUP(VLOOKUP(C38,exchange,14,0),realtimepx,2,0)</f>
        <v>1007.2511725606423</v>
      </c>
      <c r="U38" s="22" cm="1">
        <f t="array" aca="1" ref="U38" ca="1">VLOOKUP(M38,pricedata!$C:$EQ,_xlfn.SINGLE(assumptions!$C$3)-4,0)/VLOOKUP(VLOOKUP(C38,exchange,14,0),realtimepx,2,0)</f>
        <v>1094.5817627255201</v>
      </c>
      <c r="V38" s="77">
        <f t="shared" si="118"/>
        <v>83517.969671682979</v>
      </c>
      <c r="W38" s="77">
        <f t="shared" ca="1" si="119"/>
        <v>-72943.343020746281</v>
      </c>
      <c r="X38" s="77">
        <f ca="1">(VLOOKUP(C38,exchange,10,0)*U38-O38)*N38</f>
        <v>58052.542226570382</v>
      </c>
    </row>
    <row r="39" spans="1:24" x14ac:dyDescent="0.35">
      <c r="N39" s="107"/>
      <c r="O39" s="107"/>
      <c r="P39" s="107"/>
    </row>
    <row r="40" spans="1:24" x14ac:dyDescent="0.35">
      <c r="N40" s="107"/>
      <c r="O40" s="107"/>
      <c r="P40" s="107"/>
    </row>
    <row r="41" spans="1:24" x14ac:dyDescent="0.35">
      <c r="N41" s="107"/>
      <c r="O41" s="107"/>
      <c r="P41" s="107"/>
    </row>
    <row r="42" spans="1:24" x14ac:dyDescent="0.35">
      <c r="N42" s="107"/>
      <c r="O42" s="107"/>
      <c r="P42" s="107"/>
    </row>
    <row r="43" spans="1:24" x14ac:dyDescent="0.35">
      <c r="N43" s="107"/>
      <c r="O43" s="107"/>
      <c r="P43" s="107"/>
    </row>
    <row r="44" spans="1:24" x14ac:dyDescent="0.35">
      <c r="N44" s="107"/>
      <c r="O44" s="107"/>
      <c r="P44" s="107"/>
    </row>
    <row r="45" spans="1:24" x14ac:dyDescent="0.35">
      <c r="N45" s="107"/>
      <c r="O45" s="107"/>
      <c r="P45" s="107"/>
    </row>
    <row r="46" spans="1:24" x14ac:dyDescent="0.35">
      <c r="N46" s="107"/>
      <c r="O46" s="107"/>
      <c r="P46" s="107"/>
    </row>
    <row r="47" spans="1:24" x14ac:dyDescent="0.35">
      <c r="N47" s="107"/>
      <c r="O47" s="107"/>
      <c r="P47" s="107"/>
    </row>
    <row r="48" spans="1:24" x14ac:dyDescent="0.35">
      <c r="N48" s="107"/>
      <c r="O48" s="107"/>
      <c r="P48" s="107"/>
    </row>
    <row r="49" spans="14:16" x14ac:dyDescent="0.35">
      <c r="N49" s="107"/>
      <c r="O49" s="107"/>
      <c r="P49" s="107"/>
    </row>
    <row r="50" spans="14:16" x14ac:dyDescent="0.35">
      <c r="N50" s="107"/>
      <c r="O50" s="107"/>
      <c r="P50" s="107"/>
    </row>
    <row r="51" spans="14:16" x14ac:dyDescent="0.35">
      <c r="N51" s="107"/>
      <c r="O51" s="107"/>
      <c r="P51" s="107"/>
    </row>
    <row r="52" spans="14:16" x14ac:dyDescent="0.35">
      <c r="N52" s="107"/>
      <c r="O52" s="107"/>
      <c r="P52" s="107"/>
    </row>
    <row r="53" spans="14:16" x14ac:dyDescent="0.35">
      <c r="N53" s="107"/>
      <c r="O53" s="107"/>
      <c r="P53" s="107"/>
    </row>
    <row r="54" spans="14:16" x14ac:dyDescent="0.35">
      <c r="N54" s="107"/>
      <c r="O54" s="107"/>
      <c r="P54" s="107"/>
    </row>
    <row r="55" spans="14:16" x14ac:dyDescent="0.35">
      <c r="N55" s="107"/>
      <c r="O55" s="107"/>
      <c r="P55" s="107"/>
    </row>
    <row r="56" spans="14:16" x14ac:dyDescent="0.35">
      <c r="N56" s="107"/>
      <c r="O56" s="107"/>
      <c r="P56" s="107"/>
    </row>
    <row r="57" spans="14:16" x14ac:dyDescent="0.35">
      <c r="N57" s="107"/>
      <c r="O57" s="107"/>
      <c r="P57" s="107"/>
    </row>
    <row r="58" spans="14:16" x14ac:dyDescent="0.35">
      <c r="N58" s="107"/>
      <c r="O58" s="107"/>
      <c r="P58" s="107"/>
    </row>
    <row r="59" spans="14:16" x14ac:dyDescent="0.35">
      <c r="N59" s="107"/>
      <c r="O59" s="107"/>
      <c r="P59" s="107"/>
    </row>
    <row r="60" spans="14:16" x14ac:dyDescent="0.35">
      <c r="N60" s="107"/>
      <c r="O60" s="107"/>
      <c r="P60" s="107"/>
    </row>
    <row r="61" spans="14:16" x14ac:dyDescent="0.35">
      <c r="N61" s="107"/>
      <c r="O61" s="107"/>
      <c r="P61" s="107"/>
    </row>
    <row r="62" spans="14:16" x14ac:dyDescent="0.35">
      <c r="N62" s="107"/>
      <c r="O62" s="107"/>
      <c r="P62" s="107"/>
    </row>
    <row r="63" spans="14:16" x14ac:dyDescent="0.35">
      <c r="N63" s="107"/>
      <c r="O63" s="107"/>
      <c r="P63" s="107"/>
    </row>
    <row r="64" spans="14:16" x14ac:dyDescent="0.35">
      <c r="N64" s="107"/>
      <c r="O64" s="107"/>
      <c r="P64" s="107"/>
    </row>
    <row r="65" spans="14:16" x14ac:dyDescent="0.35">
      <c r="N65" s="107"/>
      <c r="O65" s="107"/>
      <c r="P65" s="107"/>
    </row>
    <row r="66" spans="14:16" x14ac:dyDescent="0.35">
      <c r="N66" s="107"/>
      <c r="O66" s="107"/>
      <c r="P66" s="107"/>
    </row>
    <row r="67" spans="14:16" x14ac:dyDescent="0.35">
      <c r="N67" s="107"/>
      <c r="O67" s="107"/>
      <c r="P67" s="107"/>
    </row>
    <row r="68" spans="14:16" x14ac:dyDescent="0.35">
      <c r="N68" s="107"/>
      <c r="O68" s="107"/>
      <c r="P68" s="107"/>
    </row>
    <row r="69" spans="14:16" x14ac:dyDescent="0.35">
      <c r="N69" s="107"/>
      <c r="O69" s="107"/>
      <c r="P69" s="107"/>
    </row>
    <row r="70" spans="14:16" x14ac:dyDescent="0.35">
      <c r="N70" s="107"/>
      <c r="O70" s="107"/>
      <c r="P70" s="107"/>
    </row>
    <row r="71" spans="14:16" x14ac:dyDescent="0.35">
      <c r="N71" s="107"/>
      <c r="O71" s="107"/>
      <c r="P71" s="107"/>
    </row>
    <row r="72" spans="14:16" x14ac:dyDescent="0.35">
      <c r="N72" s="107"/>
      <c r="O72" s="107"/>
      <c r="P72" s="107"/>
    </row>
    <row r="73" spans="14:16" x14ac:dyDescent="0.35">
      <c r="N73" s="107"/>
      <c r="O73" s="107"/>
      <c r="P73" s="107"/>
    </row>
    <row r="74" spans="14:16" x14ac:dyDescent="0.35">
      <c r="N74" s="107"/>
      <c r="O74" s="107"/>
      <c r="P74" s="107"/>
    </row>
    <row r="75" spans="14:16" x14ac:dyDescent="0.35">
      <c r="N75" s="107"/>
      <c r="O75" s="107"/>
      <c r="P75" s="107"/>
    </row>
    <row r="76" spans="14:16" x14ac:dyDescent="0.35">
      <c r="N76" s="107"/>
      <c r="O76" s="107"/>
      <c r="P76" s="107"/>
    </row>
    <row r="77" spans="14:16" x14ac:dyDescent="0.35">
      <c r="N77" s="107"/>
      <c r="O77" s="107"/>
      <c r="P77" s="107"/>
    </row>
    <row r="78" spans="14:16" x14ac:dyDescent="0.35">
      <c r="N78" s="107"/>
      <c r="O78" s="107"/>
      <c r="P78" s="10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F5C8-C961-8744-AB0F-668658952D78}">
  <sheetPr>
    <tabColor rgb="FF00B0F0"/>
  </sheetPr>
  <dimension ref="A1:O93"/>
  <sheetViews>
    <sheetView showGridLines="0" topLeftCell="A61" zoomScale="50" zoomScaleNormal="50" workbookViewId="0">
      <selection activeCell="I72" sqref="I72"/>
    </sheetView>
  </sheetViews>
  <sheetFormatPr defaultColWidth="10.6640625" defaultRowHeight="15.5" x14ac:dyDescent="0.35"/>
  <cols>
    <col min="1" max="1" width="20.33203125" bestFit="1" customWidth="1"/>
    <col min="2" max="2" width="11.1640625" bestFit="1" customWidth="1"/>
    <col min="3" max="4" width="13" bestFit="1" customWidth="1"/>
    <col min="5" max="6" width="13.6640625" bestFit="1" customWidth="1"/>
    <col min="7" max="7" width="11.1640625" bestFit="1" customWidth="1"/>
    <col min="8" max="8" width="13" bestFit="1" customWidth="1"/>
    <col min="9" max="9" width="11.5" bestFit="1" customWidth="1"/>
    <col min="10" max="10" width="13" bestFit="1" customWidth="1"/>
    <col min="11" max="11" width="13.6640625" bestFit="1" customWidth="1"/>
    <col min="12" max="14" width="11.1640625" bestFit="1" customWidth="1"/>
    <col min="15" max="15" width="13" bestFit="1" customWidth="1"/>
  </cols>
  <sheetData>
    <row r="1" spans="1:15" ht="19.5" x14ac:dyDescent="0.45">
      <c r="A1" s="42" t="s">
        <v>203</v>
      </c>
    </row>
    <row r="3" spans="1:15" x14ac:dyDescent="0.35">
      <c r="A3" s="46" t="s">
        <v>205</v>
      </c>
      <c r="B3" s="43" t="s">
        <v>21</v>
      </c>
      <c r="C3" s="43" t="s">
        <v>24</v>
      </c>
      <c r="D3" s="43" t="s">
        <v>26</v>
      </c>
      <c r="E3" s="43" t="s">
        <v>29</v>
      </c>
      <c r="F3" s="43" t="s">
        <v>4</v>
      </c>
      <c r="G3" s="43" t="s">
        <v>35</v>
      </c>
      <c r="H3" s="43" t="s">
        <v>38</v>
      </c>
      <c r="I3" s="43" t="s">
        <v>41</v>
      </c>
      <c r="J3" s="43" t="s">
        <v>46</v>
      </c>
      <c r="K3" s="43" t="s">
        <v>6</v>
      </c>
      <c r="L3" s="43" t="s">
        <v>51</v>
      </c>
      <c r="M3" s="43" t="s">
        <v>54</v>
      </c>
      <c r="N3" s="43" t="s">
        <v>57</v>
      </c>
      <c r="O3" s="47" t="s">
        <v>204</v>
      </c>
    </row>
    <row r="4" spans="1:15" x14ac:dyDescent="0.35">
      <c r="A4" s="44" t="s">
        <v>3</v>
      </c>
      <c r="B4" s="48">
        <f>SUMIF(logs!$M:$M,positions!$A4&amp;positions!B$3,logs!$N:$N)</f>
        <v>0</v>
      </c>
      <c r="C4" s="48">
        <f>SUMIF(logs!$M:$M,positions!$A4&amp;positions!C$3,logs!$N:$N)</f>
        <v>0</v>
      </c>
      <c r="D4" s="48">
        <f>SUMIF(logs!$M:$M,positions!$A4&amp;positions!D$3,logs!$N:$N)</f>
        <v>0</v>
      </c>
      <c r="E4" s="48">
        <f>SUMIF(logs!$M:$M,positions!$A4&amp;positions!E$3,logs!$N:$N)</f>
        <v>0</v>
      </c>
      <c r="F4" s="48">
        <f>SUMIF(logs!$M:$M,positions!$A4&amp;positions!F$3,logs!$N:$N)</f>
        <v>-4027.9050357884807</v>
      </c>
      <c r="G4" s="48">
        <f>SUMIF(logs!$M:$M,positions!$A4&amp;positions!G$3,logs!$N:$N)</f>
        <v>0</v>
      </c>
      <c r="H4" s="48">
        <f>SUMIF(logs!$M:$M,positions!$A4&amp;positions!H$3,logs!$N:$N)</f>
        <v>0</v>
      </c>
      <c r="I4" s="48">
        <f>SUMIF(logs!$M:$M,positions!$A4&amp;positions!I$3,logs!$N:$N)</f>
        <v>0</v>
      </c>
      <c r="J4" s="48">
        <f>SUMIF(logs!$M:$M,positions!$A4&amp;positions!J$3,logs!$N:$N)</f>
        <v>0</v>
      </c>
      <c r="K4" s="48">
        <f>SUMIF(logs!$M:$M,positions!$A4&amp;positions!K$3,logs!$N:$N)</f>
        <v>6531.7378958732115</v>
      </c>
      <c r="L4" s="48">
        <f>SUMIF(logs!$M:$M,positions!$A4&amp;positions!L$3,logs!$N:$N)</f>
        <v>-2013.9525178942404</v>
      </c>
      <c r="M4" s="48">
        <f>SUMIF(logs!$M:$M,positions!$A4&amp;positions!M$3,logs!$N:$N)</f>
        <v>0</v>
      </c>
      <c r="N4" s="48">
        <f>SUMIF(logs!$M:$M,positions!$A4&amp;positions!N$3,logs!$N:$N)</f>
        <v>0</v>
      </c>
      <c r="O4" s="49">
        <f>SUM(B4:N4)</f>
        <v>489.88034219049041</v>
      </c>
    </row>
    <row r="5" spans="1:15" x14ac:dyDescent="0.35">
      <c r="A5" s="44" t="s">
        <v>18</v>
      </c>
      <c r="B5" s="48">
        <f>SUMIF(logs!$M:$M,positions!$A5&amp;positions!B$3,logs!$N:$N)</f>
        <v>0</v>
      </c>
      <c r="C5" s="48">
        <f>SUMIF(logs!$M:$M,positions!$A5&amp;positions!C$3,logs!$N:$N)</f>
        <v>0</v>
      </c>
      <c r="D5" s="48">
        <f>SUMIF(logs!$M:$M,positions!$A5&amp;positions!D$3,logs!$N:$N)</f>
        <v>-1500</v>
      </c>
      <c r="E5" s="48">
        <f>SUMIF(logs!$M:$M,positions!$A5&amp;positions!E$3,logs!$N:$N)</f>
        <v>0</v>
      </c>
      <c r="F5" s="48">
        <f>SUMIF(logs!$M:$M,positions!$A5&amp;positions!F$3,logs!$N:$N)</f>
        <v>-2000</v>
      </c>
      <c r="G5" s="48">
        <f>SUMIF(logs!$M:$M,positions!$A5&amp;positions!G$3,logs!$N:$N)</f>
        <v>0</v>
      </c>
      <c r="H5" s="48">
        <f>SUMIF(logs!$M:$M,positions!$A5&amp;positions!H$3,logs!$N:$N)</f>
        <v>2000</v>
      </c>
      <c r="I5" s="48">
        <f>SUMIF(logs!$M:$M,positions!$A5&amp;positions!I$3,logs!$N:$N)</f>
        <v>0</v>
      </c>
      <c r="J5" s="48">
        <f>SUMIF(logs!$M:$M,positions!$A5&amp;positions!J$3,logs!$N:$N)</f>
        <v>0</v>
      </c>
      <c r="K5" s="48">
        <f>SUMIF(logs!$M:$M,positions!$A5&amp;positions!K$3,logs!$N:$N)</f>
        <v>0</v>
      </c>
      <c r="L5" s="48">
        <f>SUMIF(logs!$M:$M,positions!$A5&amp;positions!L$3,logs!$N:$N)</f>
        <v>0</v>
      </c>
      <c r="M5" s="48">
        <f>SUMIF(logs!$M:$M,positions!$A5&amp;positions!M$3,logs!$N:$N)</f>
        <v>0</v>
      </c>
      <c r="N5" s="48">
        <f>SUMIF(logs!$M:$M,positions!$A5&amp;positions!N$3,logs!$N:$N)</f>
        <v>0</v>
      </c>
      <c r="O5" s="49">
        <f t="shared" ref="O5:O30" si="0">SUM(B5:N5)</f>
        <v>-1500</v>
      </c>
    </row>
    <row r="6" spans="1:15" x14ac:dyDescent="0.35">
      <c r="A6" s="44" t="s">
        <v>22</v>
      </c>
      <c r="B6" s="48">
        <f>SUMIF(logs!$M:$M,positions!$A6&amp;positions!B$3,logs!$N:$N)</f>
        <v>0</v>
      </c>
      <c r="C6" s="48">
        <f>SUMIF(logs!$M:$M,positions!$A6&amp;positions!C$3,logs!$N:$N)</f>
        <v>0</v>
      </c>
      <c r="D6" s="48">
        <f>SUMIF(logs!$M:$M,positions!$A6&amp;positions!D$3,logs!$N:$N)</f>
        <v>-1500</v>
      </c>
      <c r="E6" s="48">
        <f>SUMIF(logs!$M:$M,positions!$A6&amp;positions!E$3,logs!$N:$N)</f>
        <v>0</v>
      </c>
      <c r="F6" s="48">
        <f>SUMIF(logs!$M:$M,positions!$A6&amp;positions!F$3,logs!$N:$N)</f>
        <v>0</v>
      </c>
      <c r="G6" s="48">
        <f>SUMIF(logs!$M:$M,positions!$A6&amp;positions!G$3,logs!$N:$N)</f>
        <v>0</v>
      </c>
      <c r="H6" s="48">
        <f>SUMIF(logs!$M:$M,positions!$A6&amp;positions!H$3,logs!$N:$N)</f>
        <v>1500</v>
      </c>
      <c r="I6" s="48">
        <f>SUMIF(logs!$M:$M,positions!$A6&amp;positions!I$3,logs!$N:$N)</f>
        <v>0</v>
      </c>
      <c r="J6" s="48">
        <f>SUMIF(logs!$M:$M,positions!$A6&amp;positions!J$3,logs!$N:$N)</f>
        <v>0</v>
      </c>
      <c r="K6" s="48">
        <f>SUMIF(logs!$M:$M,positions!$A6&amp;positions!K$3,logs!$N:$N)</f>
        <v>0</v>
      </c>
      <c r="L6" s="48">
        <f>SUMIF(logs!$M:$M,positions!$A6&amp;positions!L$3,logs!$N:$N)</f>
        <v>0</v>
      </c>
      <c r="M6" s="48">
        <f>SUMIF(logs!$M:$M,positions!$A6&amp;positions!M$3,logs!$N:$N)</f>
        <v>0</v>
      </c>
      <c r="N6" s="48">
        <f>SUMIF(logs!$M:$M,positions!$A6&amp;positions!N$3,logs!$N:$N)</f>
        <v>0</v>
      </c>
      <c r="O6" s="49">
        <f t="shared" si="0"/>
        <v>0</v>
      </c>
    </row>
    <row r="7" spans="1:15" x14ac:dyDescent="0.35">
      <c r="A7" s="44" t="s">
        <v>139</v>
      </c>
      <c r="B7" s="48">
        <f>SUMIF(logs!$M:$M,positions!$A7&amp;positions!B$3,logs!$N:$N)</f>
        <v>0</v>
      </c>
      <c r="C7" s="48">
        <f>SUMIF(logs!$M:$M,positions!$A7&amp;positions!C$3,logs!$N:$N)</f>
        <v>0</v>
      </c>
      <c r="D7" s="48">
        <f>SUMIF(logs!$M:$M,positions!$A7&amp;positions!D$3,logs!$N:$N)</f>
        <v>0</v>
      </c>
      <c r="E7" s="48">
        <f>SUMIF(logs!$M:$M,positions!$A7&amp;positions!E$3,logs!$N:$N)</f>
        <v>0</v>
      </c>
      <c r="F7" s="48">
        <f>SUMIF(logs!$M:$M,positions!$A7&amp;positions!F$3,logs!$N:$N)</f>
        <v>0</v>
      </c>
      <c r="G7" s="48">
        <f>SUMIF(logs!$M:$M,positions!$A7&amp;positions!G$3,logs!$N:$N)</f>
        <v>0</v>
      </c>
      <c r="H7" s="48">
        <f>SUMIF(logs!$M:$M,positions!$A7&amp;positions!H$3,logs!$N:$N)</f>
        <v>0</v>
      </c>
      <c r="I7" s="48">
        <f>SUMIF(logs!$M:$M,positions!$A7&amp;positions!I$3,logs!$N:$N)</f>
        <v>0</v>
      </c>
      <c r="J7" s="48">
        <f>SUMIF(logs!$M:$M,positions!$A7&amp;positions!J$3,logs!$N:$N)</f>
        <v>0</v>
      </c>
      <c r="K7" s="48">
        <f>SUMIF(logs!$M:$M,positions!$A7&amp;positions!K$3,logs!$N:$N)</f>
        <v>0</v>
      </c>
      <c r="L7" s="48">
        <f>SUMIF(logs!$M:$M,positions!$A7&amp;positions!L$3,logs!$N:$N)</f>
        <v>0</v>
      </c>
      <c r="M7" s="48">
        <f>SUMIF(logs!$M:$M,positions!$A7&amp;positions!M$3,logs!$N:$N)</f>
        <v>0</v>
      </c>
      <c r="N7" s="48">
        <f>SUMIF(logs!$M:$M,positions!$A7&amp;positions!N$3,logs!$N:$N)</f>
        <v>0</v>
      </c>
      <c r="O7" s="49">
        <f t="shared" si="0"/>
        <v>0</v>
      </c>
    </row>
    <row r="8" spans="1:15" x14ac:dyDescent="0.35">
      <c r="A8" s="44" t="s">
        <v>27</v>
      </c>
      <c r="B8" s="48">
        <f>SUMIF(logs!$M:$M,positions!$A8&amp;positions!B$3,logs!$N:$N)</f>
        <v>0</v>
      </c>
      <c r="C8" s="48">
        <f>SUMIF(logs!$M:$M,positions!$A8&amp;positions!C$3,logs!$N:$N)</f>
        <v>0</v>
      </c>
      <c r="D8" s="48">
        <f>SUMIF(logs!$M:$M,positions!$A8&amp;positions!D$3,logs!$N:$N)</f>
        <v>2000</v>
      </c>
      <c r="E8" s="48">
        <f>SUMIF(logs!$M:$M,positions!$A8&amp;positions!E$3,logs!$N:$N)</f>
        <v>0</v>
      </c>
      <c r="F8" s="48">
        <f>SUMIF(logs!$M:$M,positions!$A8&amp;positions!F$3,logs!$N:$N)</f>
        <v>0</v>
      </c>
      <c r="G8" s="48">
        <f>SUMIF(logs!$M:$M,positions!$A8&amp;positions!G$3,logs!$N:$N)</f>
        <v>0</v>
      </c>
      <c r="H8" s="48">
        <f>SUMIF(logs!$M:$M,positions!$A8&amp;positions!H$3,logs!$N:$N)</f>
        <v>0</v>
      </c>
      <c r="I8" s="48">
        <f>SUMIF(logs!$M:$M,positions!$A8&amp;positions!I$3,logs!$N:$N)</f>
        <v>0</v>
      </c>
      <c r="J8" s="48">
        <f>SUMIF(logs!$M:$M,positions!$A8&amp;positions!J$3,logs!$N:$N)</f>
        <v>0</v>
      </c>
      <c r="K8" s="48">
        <f>SUMIF(logs!$M:$M,positions!$A8&amp;positions!K$3,logs!$N:$N)</f>
        <v>0</v>
      </c>
      <c r="L8" s="48">
        <f>SUMIF(logs!$M:$M,positions!$A8&amp;positions!L$3,logs!$N:$N)</f>
        <v>0</v>
      </c>
      <c r="M8" s="48">
        <f>SUMIF(logs!$M:$M,positions!$A8&amp;positions!M$3,logs!$N:$N)</f>
        <v>0</v>
      </c>
      <c r="N8" s="48">
        <f>SUMIF(logs!$M:$M,positions!$A8&amp;positions!N$3,logs!$N:$N)</f>
        <v>0</v>
      </c>
      <c r="O8" s="49">
        <f t="shared" si="0"/>
        <v>2000</v>
      </c>
    </row>
    <row r="9" spans="1:15" x14ac:dyDescent="0.35">
      <c r="A9" s="44" t="s">
        <v>135</v>
      </c>
      <c r="B9" s="48">
        <f>SUMIF(logs!$M:$M,positions!$A9&amp;positions!B$3,logs!$N:$N)</f>
        <v>0</v>
      </c>
      <c r="C9" s="48">
        <f>SUMIF(logs!$M:$M,positions!$A9&amp;positions!C$3,logs!$N:$N)</f>
        <v>0</v>
      </c>
      <c r="D9" s="48">
        <f>SUMIF(logs!$M:$M,positions!$A9&amp;positions!D$3,logs!$N:$N)</f>
        <v>0</v>
      </c>
      <c r="E9" s="48">
        <f>SUMIF(logs!$M:$M,positions!$A9&amp;positions!E$3,logs!$N:$N)</f>
        <v>0</v>
      </c>
      <c r="F9" s="48">
        <f>SUMIF(logs!$M:$M,positions!$A9&amp;positions!F$3,logs!$N:$N)</f>
        <v>0</v>
      </c>
      <c r="G9" s="48">
        <f>SUMIF(logs!$M:$M,positions!$A9&amp;positions!G$3,logs!$N:$N)</f>
        <v>0</v>
      </c>
      <c r="H9" s="48">
        <f>SUMIF(logs!$M:$M,positions!$A9&amp;positions!H$3,logs!$N:$N)</f>
        <v>0</v>
      </c>
      <c r="I9" s="48">
        <f>SUMIF(logs!$M:$M,positions!$A9&amp;positions!I$3,logs!$N:$N)</f>
        <v>0</v>
      </c>
      <c r="J9" s="48">
        <f>SUMIF(logs!$M:$M,positions!$A9&amp;positions!J$3,logs!$N:$N)</f>
        <v>0</v>
      </c>
      <c r="K9" s="48">
        <f>SUMIF(logs!$M:$M,positions!$A9&amp;positions!K$3,logs!$N:$N)</f>
        <v>0</v>
      </c>
      <c r="L9" s="48">
        <f>SUMIF(logs!$M:$M,positions!$A9&amp;positions!L$3,logs!$N:$N)</f>
        <v>0</v>
      </c>
      <c r="M9" s="48">
        <f>SUMIF(logs!$M:$M,positions!$A9&amp;positions!M$3,logs!$N:$N)</f>
        <v>0</v>
      </c>
      <c r="N9" s="48">
        <f>SUMIF(logs!$M:$M,positions!$A9&amp;positions!N$3,logs!$N:$N)</f>
        <v>0</v>
      </c>
      <c r="O9" s="49">
        <f t="shared" si="0"/>
        <v>0</v>
      </c>
    </row>
    <row r="10" spans="1:15" x14ac:dyDescent="0.35">
      <c r="A10" s="44" t="s">
        <v>178</v>
      </c>
      <c r="B10" s="48">
        <f>SUMIF(logs!$M:$M,positions!$A10&amp;positions!B$3,logs!$N:$N)</f>
        <v>0</v>
      </c>
      <c r="C10" s="48">
        <f>SUMIF(logs!$M:$M,positions!$A10&amp;positions!C$3,logs!$N:$N)</f>
        <v>0</v>
      </c>
      <c r="D10" s="48">
        <f>SUMIF(logs!$M:$M,positions!$A10&amp;positions!D$3,logs!$N:$N)</f>
        <v>2500</v>
      </c>
      <c r="E10" s="48">
        <f>SUMIF(logs!$M:$M,positions!$A10&amp;positions!E$3,logs!$N:$N)</f>
        <v>0</v>
      </c>
      <c r="F10" s="48">
        <f>SUMIF(logs!$M:$M,positions!$A10&amp;positions!F$3,logs!$N:$N)</f>
        <v>0</v>
      </c>
      <c r="G10" s="48">
        <f>SUMIF(logs!$M:$M,positions!$A10&amp;positions!G$3,logs!$N:$N)</f>
        <v>0</v>
      </c>
      <c r="H10" s="48">
        <f>SUMIF(logs!$M:$M,positions!$A10&amp;positions!H$3,logs!$N:$N)</f>
        <v>-2500</v>
      </c>
      <c r="I10" s="48">
        <f>SUMIF(logs!$M:$M,positions!$A10&amp;positions!I$3,logs!$N:$N)</f>
        <v>0</v>
      </c>
      <c r="J10" s="48">
        <f>SUMIF(logs!$M:$M,positions!$A10&amp;positions!J$3,logs!$N:$N)</f>
        <v>0</v>
      </c>
      <c r="K10" s="48">
        <f>SUMIF(logs!$M:$M,positions!$A10&amp;positions!K$3,logs!$N:$N)</f>
        <v>0</v>
      </c>
      <c r="L10" s="48">
        <f>SUMIF(logs!$M:$M,positions!$A10&amp;positions!L$3,logs!$N:$N)</f>
        <v>0</v>
      </c>
      <c r="M10" s="48">
        <f>SUMIF(logs!$M:$M,positions!$A10&amp;positions!M$3,logs!$N:$N)</f>
        <v>0</v>
      </c>
      <c r="N10" s="48">
        <f>SUMIF(logs!$M:$M,positions!$A10&amp;positions!N$3,logs!$N:$N)</f>
        <v>0</v>
      </c>
      <c r="O10" s="49">
        <f t="shared" si="0"/>
        <v>0</v>
      </c>
    </row>
    <row r="11" spans="1:15" x14ac:dyDescent="0.35">
      <c r="A11" s="45" t="s">
        <v>25</v>
      </c>
      <c r="B11" s="52">
        <f>SUMIF(logs!$M:$M,positions!$A11&amp;positions!B$3,logs!$N:$N)</f>
        <v>0</v>
      </c>
      <c r="C11" s="52">
        <f>SUMIF(logs!$M:$M,positions!$A11&amp;positions!C$3,logs!$N:$N)</f>
        <v>0</v>
      </c>
      <c r="D11" s="52">
        <f>SUMIF(logs!$M:$M,positions!$A11&amp;positions!D$3,logs!$N:$N)</f>
        <v>0</v>
      </c>
      <c r="E11" s="52">
        <f>SUMIF(logs!$M:$M,positions!$A11&amp;positions!E$3,logs!$N:$N)</f>
        <v>0</v>
      </c>
      <c r="F11" s="52">
        <f>SUMIF(logs!$M:$M,positions!$A11&amp;positions!F$3,logs!$N:$N)</f>
        <v>0</v>
      </c>
      <c r="G11" s="52">
        <f>SUMIF(logs!$M:$M,positions!$A11&amp;positions!G$3,logs!$N:$N)</f>
        <v>0</v>
      </c>
      <c r="H11" s="52">
        <f>SUMIF(logs!$M:$M,positions!$A11&amp;positions!H$3,logs!$N:$N)</f>
        <v>0</v>
      </c>
      <c r="I11" s="52">
        <f>SUMIF(logs!$M:$M,positions!$A11&amp;positions!I$3,logs!$N:$N)</f>
        <v>0</v>
      </c>
      <c r="J11" s="52">
        <f>SUMIF(logs!$M:$M,positions!$A11&amp;positions!J$3,logs!$N:$N)</f>
        <v>0</v>
      </c>
      <c r="K11" s="52">
        <f>SUMIF(logs!$M:$M,positions!$A11&amp;positions!K$3,logs!$N:$N)</f>
        <v>1995.8269073754875</v>
      </c>
      <c r="L11" s="52">
        <f>SUMIF(logs!$M:$M,positions!$A11&amp;positions!L$3,logs!$N:$N)</f>
        <v>0</v>
      </c>
      <c r="M11" s="52">
        <f>SUMIF(logs!$M:$M,positions!$A11&amp;positions!M$3,logs!$N:$N)</f>
        <v>0</v>
      </c>
      <c r="N11" s="52">
        <f>SUMIF(logs!$M:$M,positions!$A11&amp;positions!N$3,logs!$N:$N)</f>
        <v>0</v>
      </c>
      <c r="O11" s="53">
        <f t="shared" si="0"/>
        <v>1995.8269073754875</v>
      </c>
    </row>
    <row r="12" spans="1:15" x14ac:dyDescent="0.35">
      <c r="A12" s="44" t="s">
        <v>101</v>
      </c>
      <c r="B12" s="48">
        <f>SUMIF(logs!$M:$M,positions!$A12&amp;positions!B$3,logs!$N:$N)</f>
        <v>0</v>
      </c>
      <c r="C12" s="48">
        <f>SUMIF(logs!$M:$M,positions!$A12&amp;positions!C$3,logs!$N:$N)</f>
        <v>0</v>
      </c>
      <c r="D12" s="48">
        <f>SUMIF(logs!$M:$M,positions!$A12&amp;positions!D$3,logs!$N:$N)</f>
        <v>0</v>
      </c>
      <c r="E12" s="48">
        <f>SUMIF(logs!$M:$M,positions!$A12&amp;positions!E$3,logs!$N:$N)</f>
        <v>0</v>
      </c>
      <c r="F12" s="48">
        <f>SUMIF(logs!$M:$M,positions!$A12&amp;positions!F$3,logs!$N:$N)</f>
        <v>0</v>
      </c>
      <c r="G12" s="48">
        <f>SUMIF(logs!$M:$M,positions!$A12&amp;positions!G$3,logs!$N:$N)</f>
        <v>0</v>
      </c>
      <c r="H12" s="48">
        <f>SUMIF(logs!$M:$M,positions!$A12&amp;positions!H$3,logs!$N:$N)</f>
        <v>0</v>
      </c>
      <c r="I12" s="48">
        <f>SUMIF(logs!$M:$M,positions!$A12&amp;positions!I$3,logs!$N:$N)</f>
        <v>0</v>
      </c>
      <c r="J12" s="48">
        <f>SUMIF(logs!$M:$M,positions!$A12&amp;positions!J$3,logs!$N:$N)</f>
        <v>0</v>
      </c>
      <c r="K12" s="48">
        <f>SUMIF(logs!$M:$M,positions!$A12&amp;positions!K$3,logs!$N:$N)</f>
        <v>0</v>
      </c>
      <c r="L12" s="48">
        <f>SUMIF(logs!$M:$M,positions!$A12&amp;positions!L$3,logs!$N:$N)</f>
        <v>0</v>
      </c>
      <c r="M12" s="48">
        <f>SUMIF(logs!$M:$M,positions!$A12&amp;positions!M$3,logs!$N:$N)</f>
        <v>0</v>
      </c>
      <c r="N12" s="48">
        <f>SUMIF(logs!$M:$M,positions!$A12&amp;positions!N$3,logs!$N:$N)</f>
        <v>0</v>
      </c>
      <c r="O12" s="49">
        <f t="shared" si="0"/>
        <v>0</v>
      </c>
    </row>
    <row r="13" spans="1:15" x14ac:dyDescent="0.35">
      <c r="A13" s="44" t="s">
        <v>163</v>
      </c>
      <c r="B13" s="48">
        <f>SUMIF(logs!$M:$M,positions!$A13&amp;positions!B$3,logs!$N:$N)</f>
        <v>0</v>
      </c>
      <c r="C13" s="48">
        <f>SUMIF(logs!$M:$M,positions!$A13&amp;positions!C$3,logs!$N:$N)</f>
        <v>0</v>
      </c>
      <c r="D13" s="48">
        <f>SUMIF(logs!$M:$M,positions!$A13&amp;positions!D$3,logs!$N:$N)</f>
        <v>0</v>
      </c>
      <c r="E13" s="48">
        <f>SUMIF(logs!$M:$M,positions!$A13&amp;positions!E$3,logs!$N:$N)</f>
        <v>0</v>
      </c>
      <c r="F13" s="48">
        <f>SUMIF(logs!$M:$M,positions!$A13&amp;positions!F$3,logs!$N:$N)</f>
        <v>0</v>
      </c>
      <c r="G13" s="48">
        <f>SUMIF(logs!$M:$M,positions!$A13&amp;positions!G$3,logs!$N:$N)</f>
        <v>0</v>
      </c>
      <c r="H13" s="48">
        <f>SUMIF(logs!$M:$M,positions!$A13&amp;positions!H$3,logs!$N:$N)</f>
        <v>0</v>
      </c>
      <c r="I13" s="48">
        <f>SUMIF(logs!$M:$M,positions!$A13&amp;positions!I$3,logs!$N:$N)</f>
        <v>0</v>
      </c>
      <c r="J13" s="48">
        <f>SUMIF(logs!$M:$M,positions!$A13&amp;positions!J$3,logs!$N:$N)</f>
        <v>0</v>
      </c>
      <c r="K13" s="48">
        <f>SUMIF(logs!$M:$M,positions!$A13&amp;positions!K$3,logs!$N:$N)</f>
        <v>0</v>
      </c>
      <c r="L13" s="48">
        <f>SUMIF(logs!$M:$M,positions!$A13&amp;positions!L$3,logs!$N:$N)</f>
        <v>0</v>
      </c>
      <c r="M13" s="48">
        <f>SUMIF(logs!$M:$M,positions!$A13&amp;positions!M$3,logs!$N:$N)</f>
        <v>0</v>
      </c>
      <c r="N13" s="48">
        <f>SUMIF(logs!$M:$M,positions!$A13&amp;positions!N$3,logs!$N:$N)</f>
        <v>0</v>
      </c>
      <c r="O13" s="49">
        <f t="shared" si="0"/>
        <v>0</v>
      </c>
    </row>
    <row r="14" spans="1:15" x14ac:dyDescent="0.35">
      <c r="A14" s="44" t="s">
        <v>30</v>
      </c>
      <c r="B14" s="48">
        <f>SUMIF(logs!$M:$M,positions!$A14&amp;positions!B$3,logs!$N:$N)</f>
        <v>0</v>
      </c>
      <c r="C14" s="48">
        <f>SUMIF(logs!$M:$M,positions!$A14&amp;positions!C$3,logs!$N:$N)</f>
        <v>0</v>
      </c>
      <c r="D14" s="48">
        <f>SUMIF(logs!$M:$M,positions!$A14&amp;positions!D$3,logs!$N:$N)</f>
        <v>0</v>
      </c>
      <c r="E14" s="48">
        <f>SUMIF(logs!$M:$M,positions!$A14&amp;positions!E$3,logs!$N:$N)</f>
        <v>0</v>
      </c>
      <c r="F14" s="48">
        <f>SUMIF(logs!$M:$M,positions!$A14&amp;positions!F$3,logs!$N:$N)</f>
        <v>-5035.3837778987481</v>
      </c>
      <c r="G14" s="48">
        <f>SUMIF(logs!$M:$M,positions!$A14&amp;positions!G$3,logs!$N:$N)</f>
        <v>0</v>
      </c>
      <c r="H14" s="48">
        <f>SUMIF(logs!$M:$M,positions!$A14&amp;positions!H$3,logs!$N:$N)</f>
        <v>0</v>
      </c>
      <c r="I14" s="48">
        <f>SUMIF(logs!$M:$M,positions!$A14&amp;positions!I$3,logs!$N:$N)</f>
        <v>0</v>
      </c>
      <c r="J14" s="48">
        <f>SUMIF(logs!$M:$M,positions!$A14&amp;positions!J$3,logs!$N:$N)</f>
        <v>2313.5547087642899</v>
      </c>
      <c r="K14" s="48">
        <f>SUMIF(logs!$M:$M,positions!$A14&amp;positions!K$3,logs!$N:$N)</f>
        <v>0</v>
      </c>
      <c r="L14" s="48">
        <f>SUMIF(logs!$M:$M,positions!$A14&amp;positions!L$3,logs!$N:$N)</f>
        <v>0</v>
      </c>
      <c r="M14" s="48">
        <f>SUMIF(logs!$M:$M,positions!$A14&amp;positions!M$3,logs!$N:$N)</f>
        <v>0</v>
      </c>
      <c r="N14" s="48">
        <f>SUMIF(logs!$M:$M,positions!$A14&amp;positions!N$3,logs!$N:$N)</f>
        <v>0</v>
      </c>
      <c r="O14" s="49">
        <f t="shared" si="0"/>
        <v>-2721.8290691344582</v>
      </c>
    </row>
    <row r="15" spans="1:15" x14ac:dyDescent="0.35">
      <c r="A15" s="44" t="s">
        <v>33</v>
      </c>
      <c r="B15" s="48">
        <f>SUMIF(logs!$M:$M,positions!$A15&amp;positions!B$3,logs!$N:$N)</f>
        <v>4082.7436037016873</v>
      </c>
      <c r="C15" s="48">
        <f>SUMIF(logs!$M:$M,positions!$A15&amp;positions!C$3,logs!$N:$N)</f>
        <v>0</v>
      </c>
      <c r="D15" s="48">
        <f>SUMIF(logs!$M:$M,positions!$A15&amp;positions!D$3,logs!$N:$N)</f>
        <v>-4082.7436037016873</v>
      </c>
      <c r="E15" s="48">
        <f>SUMIF(logs!$M:$M,positions!$A15&amp;positions!E$3,logs!$N:$N)</f>
        <v>0</v>
      </c>
      <c r="F15" s="48">
        <f>SUMIF(logs!$M:$M,positions!$A15&amp;positions!F$3,logs!$N:$N)</f>
        <v>0</v>
      </c>
      <c r="G15" s="48">
        <f>SUMIF(logs!$M:$M,positions!$A15&amp;positions!G$3,logs!$N:$N)</f>
        <v>0</v>
      </c>
      <c r="H15" s="48">
        <f>SUMIF(logs!$M:$M,positions!$A15&amp;positions!H$3,logs!$N:$N)</f>
        <v>0</v>
      </c>
      <c r="I15" s="48">
        <f>SUMIF(logs!$M:$M,positions!$A15&amp;positions!I$3,logs!$N:$N)</f>
        <v>0</v>
      </c>
      <c r="J15" s="48">
        <f>SUMIF(logs!$M:$M,positions!$A15&amp;positions!J$3,logs!$N:$N)</f>
        <v>0</v>
      </c>
      <c r="K15" s="48">
        <f>SUMIF(logs!$M:$M,positions!$A15&amp;positions!K$3,logs!$N:$N)</f>
        <v>0</v>
      </c>
      <c r="L15" s="48">
        <f>SUMIF(logs!$M:$M,positions!$A15&amp;positions!L$3,logs!$N:$N)</f>
        <v>0</v>
      </c>
      <c r="M15" s="48">
        <f>SUMIF(logs!$M:$M,positions!$A15&amp;positions!M$3,logs!$N:$N)</f>
        <v>0</v>
      </c>
      <c r="N15" s="48">
        <f>SUMIF(logs!$M:$M,positions!$A15&amp;positions!N$3,logs!$N:$N)</f>
        <v>0</v>
      </c>
      <c r="O15" s="49">
        <f t="shared" si="0"/>
        <v>0</v>
      </c>
    </row>
    <row r="16" spans="1:15" x14ac:dyDescent="0.35">
      <c r="A16" s="44" t="s">
        <v>36</v>
      </c>
      <c r="B16" s="48">
        <f>SUMIF(logs!$M:$M,positions!$A16&amp;positions!B$3,logs!$N:$N)</f>
        <v>0</v>
      </c>
      <c r="C16" s="48">
        <f>SUMIF(logs!$M:$M,positions!$A16&amp;positions!C$3,logs!$N:$N)</f>
        <v>0</v>
      </c>
      <c r="D16" s="48">
        <f>SUMIF(logs!$M:$M,positions!$A16&amp;positions!D$3,logs!$N:$N)</f>
        <v>0</v>
      </c>
      <c r="E16" s="48">
        <f>SUMIF(logs!$M:$M,positions!$A16&amp;positions!E$3,logs!$N:$N)</f>
        <v>0</v>
      </c>
      <c r="F16" s="48">
        <f>SUMIF(logs!$M:$M,positions!$A16&amp;positions!F$3,logs!$N:$N)</f>
        <v>0</v>
      </c>
      <c r="G16" s="48">
        <f>SUMIF(logs!$M:$M,positions!$A16&amp;positions!G$3,logs!$N:$N)</f>
        <v>0</v>
      </c>
      <c r="H16" s="48">
        <f>SUMIF(logs!$M:$M,positions!$A16&amp;positions!H$3,logs!$N:$N)</f>
        <v>0</v>
      </c>
      <c r="I16" s="48">
        <f>SUMIF(logs!$M:$M,positions!$A16&amp;positions!I$3,logs!$N:$N)</f>
        <v>0</v>
      </c>
      <c r="J16" s="48">
        <f>SUMIF(logs!$M:$M,positions!$A16&amp;positions!J$3,logs!$N:$N)</f>
        <v>0</v>
      </c>
      <c r="K16" s="48">
        <f>SUMIF(logs!$M:$M,positions!$A16&amp;positions!K$3,logs!$N:$N)</f>
        <v>0</v>
      </c>
      <c r="L16" s="48">
        <f>SUMIF(logs!$M:$M,positions!$A16&amp;positions!L$3,logs!$N:$N)</f>
        <v>0</v>
      </c>
      <c r="M16" s="48">
        <f>SUMIF(logs!$M:$M,positions!$A16&amp;positions!M$3,logs!$N:$N)</f>
        <v>0</v>
      </c>
      <c r="N16" s="48">
        <f>SUMIF(logs!$M:$M,positions!$A16&amp;positions!N$3,logs!$N:$N)</f>
        <v>0</v>
      </c>
      <c r="O16" s="49">
        <f t="shared" si="0"/>
        <v>0</v>
      </c>
    </row>
    <row r="17" spans="1:15" x14ac:dyDescent="0.35">
      <c r="A17" s="45" t="s">
        <v>39</v>
      </c>
      <c r="B17" s="52">
        <f>SUMIF(logs!$M:$M,positions!$A17&amp;positions!B$3,logs!$N:$N)</f>
        <v>0</v>
      </c>
      <c r="C17" s="52">
        <f>SUMIF(logs!$M:$M,positions!$A17&amp;positions!C$3,logs!$N:$N)</f>
        <v>0</v>
      </c>
      <c r="D17" s="52">
        <f>SUMIF(logs!$M:$M,positions!$A17&amp;positions!D$3,logs!$N:$N)</f>
        <v>0</v>
      </c>
      <c r="E17" s="52">
        <f>SUMIF(logs!$M:$M,positions!$A17&amp;positions!E$3,logs!$N:$N)</f>
        <v>0</v>
      </c>
      <c r="F17" s="52">
        <f>SUMIF(logs!$M:$M,positions!$A17&amp;positions!F$3,logs!$N:$N)</f>
        <v>3175.8130081300815</v>
      </c>
      <c r="G17" s="52">
        <f>SUMIF(logs!$M:$M,positions!$A17&amp;positions!G$3,logs!$N:$N)</f>
        <v>0</v>
      </c>
      <c r="H17" s="52">
        <f>SUMIF(logs!$M:$M,positions!$A17&amp;positions!H$3,logs!$N:$N)</f>
        <v>0</v>
      </c>
      <c r="I17" s="52">
        <f>SUMIF(logs!$M:$M,positions!$A17&amp;positions!I$3,logs!$N:$N)</f>
        <v>0</v>
      </c>
      <c r="J17" s="52">
        <f>SUMIF(logs!$M:$M,positions!$A17&amp;positions!J$3,logs!$N:$N)</f>
        <v>0</v>
      </c>
      <c r="K17" s="52">
        <f>SUMIF(logs!$M:$M,positions!$A17&amp;positions!K$3,logs!$N:$N)</f>
        <v>-3175.8130081300815</v>
      </c>
      <c r="L17" s="52">
        <f>SUMIF(logs!$M:$M,positions!$A17&amp;positions!L$3,logs!$N:$N)</f>
        <v>0</v>
      </c>
      <c r="M17" s="52">
        <f>SUMIF(logs!$M:$M,positions!$A17&amp;positions!M$3,logs!$N:$N)</f>
        <v>0</v>
      </c>
      <c r="N17" s="52">
        <f>SUMIF(logs!$M:$M,positions!$A17&amp;positions!N$3,logs!$N:$N)</f>
        <v>0</v>
      </c>
      <c r="O17" s="53">
        <f t="shared" si="0"/>
        <v>0</v>
      </c>
    </row>
    <row r="18" spans="1:15" x14ac:dyDescent="0.35">
      <c r="A18" s="44" t="s">
        <v>63</v>
      </c>
      <c r="B18" s="48">
        <f>SUMIF(logs!$M:$M,positions!$A18&amp;positions!B$3,logs!$N:$N)</f>
        <v>0</v>
      </c>
      <c r="C18" s="48">
        <f>SUMIF(logs!$M:$M,positions!$A18&amp;positions!C$3,logs!$N:$N)</f>
        <v>0</v>
      </c>
      <c r="D18" s="48">
        <f>SUMIF(logs!$M:$M,positions!$A18&amp;positions!D$3,logs!$N:$N)</f>
        <v>0</v>
      </c>
      <c r="E18" s="48">
        <f>SUMIF(logs!$M:$M,positions!$A18&amp;positions!E$3,logs!$N:$N)</f>
        <v>-3410.6412005457023</v>
      </c>
      <c r="F18" s="48">
        <f>SUMIF(logs!$M:$M,positions!$A18&amp;positions!F$3,logs!$N:$N)</f>
        <v>0</v>
      </c>
      <c r="G18" s="48">
        <f>SUMIF(logs!$M:$M,positions!$A18&amp;positions!G$3,logs!$N:$N)</f>
        <v>0</v>
      </c>
      <c r="H18" s="48">
        <f>SUMIF(logs!$M:$M,positions!$A18&amp;positions!H$3,logs!$N:$N)</f>
        <v>0</v>
      </c>
      <c r="I18" s="48">
        <f>SUMIF(logs!$M:$M,positions!$A18&amp;positions!I$3,logs!$N:$N)</f>
        <v>0</v>
      </c>
      <c r="J18" s="48">
        <f>SUMIF(logs!$M:$M,positions!$A18&amp;positions!J$3,logs!$N:$N)</f>
        <v>0</v>
      </c>
      <c r="K18" s="48">
        <f>SUMIF(logs!$M:$M,positions!$A18&amp;positions!K$3,logs!$N:$N)</f>
        <v>3410.6412005457023</v>
      </c>
      <c r="L18" s="48">
        <f>SUMIF(logs!$M:$M,positions!$A18&amp;positions!L$3,logs!$N:$N)</f>
        <v>0</v>
      </c>
      <c r="M18" s="48">
        <f>SUMIF(logs!$M:$M,positions!$A18&amp;positions!M$3,logs!$N:$N)</f>
        <v>0</v>
      </c>
      <c r="N18" s="48">
        <f>SUMIF(logs!$M:$M,positions!$A18&amp;positions!N$3,logs!$N:$N)</f>
        <v>0</v>
      </c>
      <c r="O18" s="49">
        <f t="shared" si="0"/>
        <v>0</v>
      </c>
    </row>
    <row r="19" spans="1:15" x14ac:dyDescent="0.35">
      <c r="A19" s="44" t="s">
        <v>68</v>
      </c>
      <c r="B19" s="48">
        <f>SUMIF(logs!$M:$M,positions!$A19&amp;positions!B$3,logs!$N:$N)</f>
        <v>0</v>
      </c>
      <c r="C19" s="48">
        <f>SUMIF(logs!$M:$M,positions!$A19&amp;positions!C$3,logs!$N:$N)</f>
        <v>0</v>
      </c>
      <c r="D19" s="48">
        <f>SUMIF(logs!$M:$M,positions!$A19&amp;positions!D$3,logs!$N:$N)</f>
        <v>0</v>
      </c>
      <c r="E19" s="48">
        <f>SUMIF(logs!$M:$M,positions!$A19&amp;positions!E$3,logs!$N:$N)</f>
        <v>0</v>
      </c>
      <c r="F19" s="48">
        <f>SUMIF(logs!$M:$M,positions!$A19&amp;positions!F$3,logs!$N:$N)</f>
        <v>0</v>
      </c>
      <c r="G19" s="48">
        <f>SUMIF(logs!$M:$M,positions!$A19&amp;positions!G$3,logs!$N:$N)</f>
        <v>0</v>
      </c>
      <c r="H19" s="48">
        <f>SUMIF(logs!$M:$M,positions!$A19&amp;positions!H$3,logs!$N:$N)</f>
        <v>0</v>
      </c>
      <c r="I19" s="48">
        <f>SUMIF(logs!$M:$M,positions!$A19&amp;positions!I$3,logs!$N:$N)</f>
        <v>0</v>
      </c>
      <c r="J19" s="48">
        <f>SUMIF(logs!$M:$M,positions!$A19&amp;positions!J$3,logs!$N:$N)</f>
        <v>0</v>
      </c>
      <c r="K19" s="48">
        <f>SUMIF(logs!$M:$M,positions!$A19&amp;positions!K$3,logs!$N:$N)</f>
        <v>0</v>
      </c>
      <c r="L19" s="48">
        <f>SUMIF(logs!$M:$M,positions!$A19&amp;positions!L$3,logs!$N:$N)</f>
        <v>0</v>
      </c>
      <c r="M19" s="48">
        <f>SUMIF(logs!$M:$M,positions!$A19&amp;positions!M$3,logs!$N:$N)</f>
        <v>0</v>
      </c>
      <c r="N19" s="48">
        <f>SUMIF(logs!$M:$M,positions!$A19&amp;positions!N$3,logs!$N:$N)</f>
        <v>0</v>
      </c>
      <c r="O19" s="49">
        <f t="shared" si="0"/>
        <v>0</v>
      </c>
    </row>
    <row r="20" spans="1:15" x14ac:dyDescent="0.35">
      <c r="A20" s="44" t="s">
        <v>72</v>
      </c>
      <c r="B20" s="48">
        <f>SUMIF(logs!$M:$M,positions!$A20&amp;positions!B$3,logs!$N:$N)</f>
        <v>0</v>
      </c>
      <c r="C20" s="48">
        <f>SUMIF(logs!$M:$M,positions!$A20&amp;positions!C$3,logs!$N:$N)</f>
        <v>0</v>
      </c>
      <c r="D20" s="48">
        <f>SUMIF(logs!$M:$M,positions!$A20&amp;positions!D$3,logs!$N:$N)</f>
        <v>0</v>
      </c>
      <c r="E20" s="48">
        <f>SUMIF(logs!$M:$M,positions!$A20&amp;positions!E$3,logs!$N:$N)</f>
        <v>5000</v>
      </c>
      <c r="F20" s="48">
        <f>SUMIF(logs!$M:$M,positions!$A20&amp;positions!F$3,logs!$N:$N)</f>
        <v>0</v>
      </c>
      <c r="G20" s="48">
        <f>SUMIF(logs!$M:$M,positions!$A20&amp;positions!G$3,logs!$N:$N)</f>
        <v>0</v>
      </c>
      <c r="H20" s="48">
        <f>SUMIF(logs!$M:$M,positions!$A20&amp;positions!H$3,logs!$N:$N)</f>
        <v>0</v>
      </c>
      <c r="I20" s="48">
        <f>SUMIF(logs!$M:$M,positions!$A20&amp;positions!I$3,logs!$N:$N)</f>
        <v>0</v>
      </c>
      <c r="J20" s="48">
        <f>SUMIF(logs!$M:$M,positions!$A20&amp;positions!J$3,logs!$N:$N)</f>
        <v>0</v>
      </c>
      <c r="K20" s="48">
        <f>SUMIF(logs!$M:$M,positions!$A20&amp;positions!K$3,logs!$N:$N)</f>
        <v>-5000</v>
      </c>
      <c r="L20" s="48">
        <f>SUMIF(logs!$M:$M,positions!$A20&amp;positions!L$3,logs!$N:$N)</f>
        <v>0</v>
      </c>
      <c r="M20" s="48">
        <f>SUMIF(logs!$M:$M,positions!$A20&amp;positions!M$3,logs!$N:$N)</f>
        <v>0</v>
      </c>
      <c r="N20" s="48">
        <f>SUMIF(logs!$M:$M,positions!$A20&amp;positions!N$3,logs!$N:$N)</f>
        <v>0</v>
      </c>
      <c r="O20" s="49">
        <f t="shared" si="0"/>
        <v>0</v>
      </c>
    </row>
    <row r="21" spans="1:15" x14ac:dyDescent="0.35">
      <c r="A21" s="44" t="s">
        <v>75</v>
      </c>
      <c r="B21" s="48">
        <f>SUMIF(logs!$M:$M,positions!$A21&amp;positions!B$3,logs!$N:$N)</f>
        <v>0</v>
      </c>
      <c r="C21" s="48">
        <f>SUMIF(logs!$M:$M,positions!$A21&amp;positions!C$3,logs!$N:$N)</f>
        <v>0</v>
      </c>
      <c r="D21" s="48">
        <f>SUMIF(logs!$M:$M,positions!$A21&amp;positions!D$3,logs!$N:$N)</f>
        <v>0</v>
      </c>
      <c r="E21" s="48">
        <f>SUMIF(logs!$M:$M,positions!$A21&amp;positions!E$3,logs!$N:$N)</f>
        <v>0</v>
      </c>
      <c r="F21" s="48">
        <f>SUMIF(logs!$M:$M,positions!$A21&amp;positions!F$3,logs!$N:$N)</f>
        <v>0</v>
      </c>
      <c r="G21" s="48">
        <f>SUMIF(logs!$M:$M,positions!$A21&amp;positions!G$3,logs!$N:$N)</f>
        <v>0</v>
      </c>
      <c r="H21" s="48">
        <f>SUMIF(logs!$M:$M,positions!$A21&amp;positions!H$3,logs!$N:$N)</f>
        <v>0</v>
      </c>
      <c r="I21" s="48">
        <f>SUMIF(logs!$M:$M,positions!$A21&amp;positions!I$3,logs!$N:$N)</f>
        <v>0</v>
      </c>
      <c r="J21" s="48">
        <f>SUMIF(logs!$M:$M,positions!$A21&amp;positions!J$3,logs!$N:$N)</f>
        <v>0</v>
      </c>
      <c r="K21" s="48">
        <f>SUMIF(logs!$M:$M,positions!$A21&amp;positions!K$3,logs!$N:$N)</f>
        <v>0</v>
      </c>
      <c r="L21" s="48">
        <f>SUMIF(logs!$M:$M,positions!$A21&amp;positions!L$3,logs!$N:$N)</f>
        <v>0</v>
      </c>
      <c r="M21" s="48">
        <f>SUMIF(logs!$M:$M,positions!$A21&amp;positions!M$3,logs!$N:$N)</f>
        <v>0</v>
      </c>
      <c r="N21" s="48">
        <f>SUMIF(logs!$M:$M,positions!$A21&amp;positions!N$3,logs!$N:$N)</f>
        <v>0</v>
      </c>
      <c r="O21" s="49">
        <f t="shared" si="0"/>
        <v>0</v>
      </c>
    </row>
    <row r="22" spans="1:15" x14ac:dyDescent="0.35">
      <c r="A22" s="45" t="s">
        <v>78</v>
      </c>
      <c r="B22" s="52">
        <f>SUMIF(logs!$M:$M,positions!$A22&amp;positions!B$3,logs!$N:$N)</f>
        <v>0</v>
      </c>
      <c r="C22" s="52">
        <f>SUMIF(logs!$M:$M,positions!$A22&amp;positions!C$3,logs!$N:$N)</f>
        <v>0</v>
      </c>
      <c r="D22" s="52">
        <f>SUMIF(logs!$M:$M,positions!$A22&amp;positions!D$3,logs!$N:$N)</f>
        <v>0</v>
      </c>
      <c r="E22" s="52">
        <f>SUMIF(logs!$M:$M,positions!$A22&amp;positions!E$3,logs!$N:$N)</f>
        <v>0</v>
      </c>
      <c r="F22" s="52">
        <f>SUMIF(logs!$M:$M,positions!$A22&amp;positions!F$3,logs!$N:$N)</f>
        <v>0</v>
      </c>
      <c r="G22" s="52">
        <f>SUMIF(logs!$M:$M,positions!$A22&amp;positions!G$3,logs!$N:$N)</f>
        <v>0</v>
      </c>
      <c r="H22" s="52">
        <f>SUMIF(logs!$M:$M,positions!$A22&amp;positions!H$3,logs!$N:$N)</f>
        <v>0</v>
      </c>
      <c r="I22" s="52">
        <f>SUMIF(logs!$M:$M,positions!$A22&amp;positions!I$3,logs!$N:$N)</f>
        <v>0</v>
      </c>
      <c r="J22" s="52">
        <f>SUMIF(logs!$M:$M,positions!$A22&amp;positions!J$3,logs!$N:$N)</f>
        <v>0</v>
      </c>
      <c r="K22" s="52">
        <f>SUMIF(logs!$M:$M,positions!$A22&amp;positions!K$3,logs!$N:$N)</f>
        <v>0</v>
      </c>
      <c r="L22" s="52">
        <f>SUMIF(logs!$M:$M,positions!$A22&amp;positions!L$3,logs!$N:$N)</f>
        <v>0</v>
      </c>
      <c r="M22" s="52">
        <f>SUMIF(logs!$M:$M,positions!$A22&amp;positions!M$3,logs!$N:$N)</f>
        <v>0</v>
      </c>
      <c r="N22" s="52">
        <f>SUMIF(logs!$M:$M,positions!$A22&amp;positions!N$3,logs!$N:$N)</f>
        <v>0</v>
      </c>
      <c r="O22" s="53">
        <f t="shared" si="0"/>
        <v>0</v>
      </c>
    </row>
    <row r="23" spans="1:15" x14ac:dyDescent="0.35">
      <c r="A23" s="44" t="s">
        <v>93</v>
      </c>
      <c r="B23" s="48">
        <f>SUMIF(logs!$M:$M,positions!$A23&amp;positions!B$3,logs!$N:$N)</f>
        <v>0</v>
      </c>
      <c r="C23" s="48">
        <f>SUMIF(logs!$M:$M,positions!$A23&amp;positions!C$3,logs!$N:$N)</f>
        <v>0</v>
      </c>
      <c r="D23" s="48">
        <f>SUMIF(logs!$M:$M,positions!$A23&amp;positions!D$3,logs!$N:$N)</f>
        <v>0</v>
      </c>
      <c r="E23" s="48">
        <f>SUMIF(logs!$M:$M,positions!$A23&amp;positions!E$3,logs!$N:$N)</f>
        <v>0</v>
      </c>
      <c r="F23" s="48">
        <f>SUMIF(logs!$M:$M,positions!$A23&amp;positions!F$3,logs!$N:$N)</f>
        <v>0</v>
      </c>
      <c r="G23" s="48">
        <f>SUMIF(logs!$M:$M,positions!$A23&amp;positions!G$3,logs!$N:$N)</f>
        <v>0</v>
      </c>
      <c r="H23" s="48">
        <f>SUMIF(logs!$M:$M,positions!$A23&amp;positions!H$3,logs!$N:$N)</f>
        <v>0</v>
      </c>
      <c r="I23" s="48">
        <f>SUMIF(logs!$M:$M,positions!$A23&amp;positions!I$3,logs!$N:$N)</f>
        <v>0</v>
      </c>
      <c r="J23" s="48">
        <f>SUMIF(logs!$M:$M,positions!$A23&amp;positions!J$3,logs!$N:$N)</f>
        <v>0</v>
      </c>
      <c r="K23" s="48">
        <f>SUMIF(logs!$M:$M,positions!$A23&amp;positions!K$3,logs!$N:$N)</f>
        <v>0</v>
      </c>
      <c r="L23" s="48">
        <f>SUMIF(logs!$M:$M,positions!$A23&amp;positions!L$3,logs!$N:$N)</f>
        <v>0</v>
      </c>
      <c r="M23" s="48">
        <f>SUMIF(logs!$M:$M,positions!$A23&amp;positions!M$3,logs!$N:$N)</f>
        <v>0</v>
      </c>
      <c r="N23" s="48">
        <f>SUMIF(logs!$M:$M,positions!$A23&amp;positions!N$3,logs!$N:$N)</f>
        <v>0</v>
      </c>
      <c r="O23" s="49">
        <f t="shared" si="0"/>
        <v>0</v>
      </c>
    </row>
    <row r="24" spans="1:15" x14ac:dyDescent="0.35">
      <c r="A24" s="44" t="s">
        <v>97</v>
      </c>
      <c r="B24" s="48">
        <f>SUMIF(logs!$M:$M,positions!$A24&amp;positions!B$3,logs!$N:$N)</f>
        <v>0</v>
      </c>
      <c r="C24" s="48">
        <f>SUMIF(logs!$M:$M,positions!$A24&amp;positions!C$3,logs!$N:$N)</f>
        <v>0</v>
      </c>
      <c r="D24" s="48">
        <f>SUMIF(logs!$M:$M,positions!$A24&amp;positions!D$3,logs!$N:$N)</f>
        <v>3759.3780334025823</v>
      </c>
      <c r="E24" s="48">
        <f>SUMIF(logs!$M:$M,positions!$A24&amp;positions!E$3,logs!$N:$N)</f>
        <v>0</v>
      </c>
      <c r="F24" s="48">
        <f>SUMIF(logs!$M:$M,positions!$A24&amp;positions!F$3,logs!$N:$N)</f>
        <v>0</v>
      </c>
      <c r="G24" s="48">
        <f>SUMIF(logs!$M:$M,positions!$A24&amp;positions!G$3,logs!$N:$N)</f>
        <v>0</v>
      </c>
      <c r="H24" s="48">
        <f>SUMIF(logs!$M:$M,positions!$A24&amp;positions!H$3,logs!$N:$N)</f>
        <v>0</v>
      </c>
      <c r="I24" s="48">
        <f>SUMIF(logs!$M:$M,positions!$A24&amp;positions!I$3,logs!$N:$N)</f>
        <v>-2997.3419455507074</v>
      </c>
      <c r="J24" s="48">
        <f>SUMIF(logs!$M:$M,positions!$A24&amp;positions!J$3,logs!$N:$N)</f>
        <v>0</v>
      </c>
      <c r="K24" s="48">
        <f>SUMIF(logs!$M:$M,positions!$A24&amp;positions!K$3,logs!$N:$N)</f>
        <v>0</v>
      </c>
      <c r="L24" s="48">
        <f>SUMIF(logs!$M:$M,positions!$A24&amp;positions!L$3,logs!$N:$N)</f>
        <v>0</v>
      </c>
      <c r="M24" s="48">
        <f>SUMIF(logs!$M:$M,positions!$A24&amp;positions!M$3,logs!$N:$N)</f>
        <v>0</v>
      </c>
      <c r="N24" s="48">
        <f>SUMIF(logs!$M:$M,positions!$A24&amp;positions!N$3,logs!$N:$N)</f>
        <v>0</v>
      </c>
      <c r="O24" s="49">
        <f t="shared" si="0"/>
        <v>762.03608785187498</v>
      </c>
    </row>
    <row r="25" spans="1:15" x14ac:dyDescent="0.35">
      <c r="A25" s="44" t="s">
        <v>160</v>
      </c>
      <c r="B25" s="48">
        <f>SUMIF(logs!$M:$M,positions!$A25&amp;positions!B$3,logs!$N:$N)</f>
        <v>0</v>
      </c>
      <c r="C25" s="48">
        <f>SUMIF(logs!$M:$M,positions!$A25&amp;positions!C$3,logs!$N:$N)</f>
        <v>0</v>
      </c>
      <c r="D25" s="48">
        <f>SUMIF(logs!$M:$M,positions!$A25&amp;positions!D$3,logs!$N:$N)</f>
        <v>0</v>
      </c>
      <c r="E25" s="48">
        <f>SUMIF(logs!$M:$M,positions!$A25&amp;positions!E$3,logs!$N:$N)</f>
        <v>0</v>
      </c>
      <c r="F25" s="48">
        <f>SUMIF(logs!$M:$M,positions!$A25&amp;positions!F$3,logs!$N:$N)</f>
        <v>0</v>
      </c>
      <c r="G25" s="48">
        <f>SUMIF(logs!$M:$M,positions!$A25&amp;positions!G$3,logs!$N:$N)</f>
        <v>0</v>
      </c>
      <c r="H25" s="48">
        <f>SUMIF(logs!$M:$M,positions!$A25&amp;positions!H$3,logs!$N:$N)</f>
        <v>0</v>
      </c>
      <c r="I25" s="48">
        <f>SUMIF(logs!$M:$M,positions!$A25&amp;positions!I$3,logs!$N:$N)</f>
        <v>0</v>
      </c>
      <c r="J25" s="48">
        <f>SUMIF(logs!$M:$M,positions!$A25&amp;positions!J$3,logs!$N:$N)</f>
        <v>0</v>
      </c>
      <c r="K25" s="48">
        <f>SUMIF(logs!$M:$M,positions!$A25&amp;positions!K$3,logs!$N:$N)</f>
        <v>0</v>
      </c>
      <c r="L25" s="48">
        <f>SUMIF(logs!$M:$M,positions!$A25&amp;positions!L$3,logs!$N:$N)</f>
        <v>0</v>
      </c>
      <c r="M25" s="48">
        <f>SUMIF(logs!$M:$M,positions!$A25&amp;positions!M$3,logs!$N:$N)</f>
        <v>0</v>
      </c>
      <c r="N25" s="48">
        <f>SUMIF(logs!$M:$M,positions!$A25&amp;positions!N$3,logs!$N:$N)</f>
        <v>0</v>
      </c>
      <c r="O25" s="49">
        <f t="shared" si="0"/>
        <v>0</v>
      </c>
    </row>
    <row r="26" spans="1:15" x14ac:dyDescent="0.35">
      <c r="A26" s="45" t="s">
        <v>103</v>
      </c>
      <c r="B26" s="52">
        <f>SUMIF(logs!$M:$M,positions!$A26&amp;positions!B$3,logs!$N:$N)</f>
        <v>0</v>
      </c>
      <c r="C26" s="52">
        <f>SUMIF(logs!$M:$M,positions!$A26&amp;positions!C$3,logs!$N:$N)</f>
        <v>0</v>
      </c>
      <c r="D26" s="52">
        <f>SUMIF(logs!$M:$M,positions!$A26&amp;positions!D$3,logs!$N:$N)</f>
        <v>0</v>
      </c>
      <c r="E26" s="52">
        <f>SUMIF(logs!$M:$M,positions!$A26&amp;positions!E$3,logs!$N:$N)</f>
        <v>0</v>
      </c>
      <c r="F26" s="52">
        <f>SUMIF(logs!$M:$M,positions!$A26&amp;positions!F$3,logs!$N:$N)</f>
        <v>0</v>
      </c>
      <c r="G26" s="52">
        <f>SUMIF(logs!$M:$M,positions!$A26&amp;positions!G$3,logs!$N:$N)</f>
        <v>0</v>
      </c>
      <c r="H26" s="52">
        <f>SUMIF(logs!$M:$M,positions!$A26&amp;positions!H$3,logs!$N:$N)</f>
        <v>0</v>
      </c>
      <c r="I26" s="52">
        <f>SUMIF(logs!$M:$M,positions!$A26&amp;positions!I$3,logs!$N:$N)</f>
        <v>0</v>
      </c>
      <c r="J26" s="52">
        <f>SUMIF(logs!$M:$M,positions!$A26&amp;positions!J$3,logs!$N:$N)</f>
        <v>0</v>
      </c>
      <c r="K26" s="52">
        <f>SUMIF(logs!$M:$M,positions!$A26&amp;positions!K$3,logs!$N:$N)</f>
        <v>0</v>
      </c>
      <c r="L26" s="52">
        <f>SUMIF(logs!$M:$M,positions!$A26&amp;positions!L$3,logs!$N:$N)</f>
        <v>0</v>
      </c>
      <c r="M26" s="52">
        <f>SUMIF(logs!$M:$M,positions!$A26&amp;positions!M$3,logs!$N:$N)</f>
        <v>0</v>
      </c>
      <c r="N26" s="52">
        <f>SUMIF(logs!$M:$M,positions!$A26&amp;positions!N$3,logs!$N:$N)</f>
        <v>0</v>
      </c>
      <c r="O26" s="53">
        <f t="shared" si="0"/>
        <v>0</v>
      </c>
    </row>
    <row r="27" spans="1:15" x14ac:dyDescent="0.35">
      <c r="A27" s="44" t="s">
        <v>107</v>
      </c>
      <c r="B27" s="54">
        <f>SUMIF(logs!$M:$M,positions!$A27&amp;positions!B$3,logs!$N:$N)</f>
        <v>0</v>
      </c>
      <c r="C27" s="54">
        <f>SUMIF(logs!$M:$M,positions!$A27&amp;positions!C$3,logs!$N:$N)</f>
        <v>3.1104199066874026E-2</v>
      </c>
      <c r="D27" s="54">
        <f>SUMIF(logs!$M:$M,positions!$A27&amp;positions!D$3,logs!$N:$N)</f>
        <v>0</v>
      </c>
      <c r="E27" s="54">
        <f>SUMIF(logs!$M:$M,positions!$A27&amp;positions!E$3,logs!$N:$N)</f>
        <v>0.24883359253499221</v>
      </c>
      <c r="F27" s="54">
        <f>SUMIF(logs!$M:$M,positions!$A27&amp;positions!F$3,logs!$N:$N)</f>
        <v>0</v>
      </c>
      <c r="G27" s="54">
        <f>SUMIF(logs!$M:$M,positions!$A27&amp;positions!G$3,logs!$N:$N)</f>
        <v>0</v>
      </c>
      <c r="H27" s="54">
        <f>SUMIF(logs!$M:$M,positions!$A27&amp;positions!H$3,logs!$N:$N)</f>
        <v>0</v>
      </c>
      <c r="I27" s="54">
        <f>SUMIF(logs!$M:$M,positions!$A27&amp;positions!I$3,logs!$N:$N)</f>
        <v>0</v>
      </c>
      <c r="J27" s="54">
        <f>SUMIF(logs!$M:$M,positions!$A27&amp;positions!J$3,logs!$N:$N)</f>
        <v>0</v>
      </c>
      <c r="K27" s="54">
        <f>SUMIF(logs!$M:$M,positions!$A27&amp;positions!K$3,logs!$N:$N)</f>
        <v>-9.3312597200622086E-2</v>
      </c>
      <c r="L27" s="54">
        <f>SUMIF(logs!$M:$M,positions!$A27&amp;positions!L$3,logs!$N:$N)</f>
        <v>0</v>
      </c>
      <c r="M27" s="54">
        <f>SUMIF(logs!$M:$M,positions!$A27&amp;positions!M$3,logs!$N:$N)</f>
        <v>0</v>
      </c>
      <c r="N27" s="54">
        <f>SUMIF(logs!$M:$M,positions!$A27&amp;positions!N$3,logs!$N:$N)</f>
        <v>0</v>
      </c>
      <c r="O27" s="55">
        <f t="shared" si="0"/>
        <v>0.18662519440124414</v>
      </c>
    </row>
    <row r="28" spans="1:15" x14ac:dyDescent="0.35">
      <c r="A28" s="44" t="s">
        <v>111</v>
      </c>
      <c r="B28" s="54">
        <f>SUMIF(logs!$M:$M,positions!$A28&amp;positions!B$3,logs!$N:$N)</f>
        <v>0</v>
      </c>
      <c r="C28" s="54">
        <f>SUMIF(logs!$M:$M,positions!$A28&amp;positions!C$3,logs!$N:$N)</f>
        <v>-1.5552099533437014</v>
      </c>
      <c r="D28" s="54">
        <f>SUMIF(logs!$M:$M,positions!$A28&amp;positions!D$3,logs!$N:$N)</f>
        <v>0</v>
      </c>
      <c r="E28" s="54">
        <f>SUMIF(logs!$M:$M,positions!$A28&amp;positions!E$3,logs!$N:$N)</f>
        <v>-6.2208398133748055</v>
      </c>
      <c r="F28" s="54">
        <f>SUMIF(logs!$M:$M,positions!$A28&amp;positions!F$3,logs!$N:$N)</f>
        <v>0</v>
      </c>
      <c r="G28" s="54">
        <f>SUMIF(logs!$M:$M,positions!$A28&amp;positions!G$3,logs!$N:$N)</f>
        <v>0</v>
      </c>
      <c r="H28" s="54">
        <f>SUMIF(logs!$M:$M,positions!$A28&amp;positions!H$3,logs!$N:$N)</f>
        <v>0</v>
      </c>
      <c r="I28" s="54">
        <f>SUMIF(logs!$M:$M,positions!$A28&amp;positions!I$3,logs!$N:$N)</f>
        <v>0</v>
      </c>
      <c r="J28" s="54">
        <f>SUMIF(logs!$M:$M,positions!$A28&amp;positions!J$3,logs!$N:$N)</f>
        <v>0</v>
      </c>
      <c r="K28" s="54">
        <f>SUMIF(logs!$M:$M,positions!$A28&amp;positions!K$3,logs!$N:$N)</f>
        <v>0</v>
      </c>
      <c r="L28" s="54">
        <f>SUMIF(logs!$M:$M,positions!$A28&amp;positions!L$3,logs!$N:$N)</f>
        <v>0</v>
      </c>
      <c r="M28" s="54">
        <f>SUMIF(logs!$M:$M,positions!$A28&amp;positions!M$3,logs!$N:$N)</f>
        <v>0</v>
      </c>
      <c r="N28" s="54">
        <f>SUMIF(logs!$M:$M,positions!$A28&amp;positions!N$3,logs!$N:$N)</f>
        <v>0</v>
      </c>
      <c r="O28" s="55">
        <f t="shared" si="0"/>
        <v>-7.7760497667185069</v>
      </c>
    </row>
    <row r="29" spans="1:15" x14ac:dyDescent="0.35">
      <c r="A29" s="44" t="s">
        <v>114</v>
      </c>
      <c r="B29" s="54">
        <f>SUMIF(logs!$M:$M,positions!$A29&amp;positions!B$3,logs!$N:$N)</f>
        <v>0</v>
      </c>
      <c r="C29" s="54">
        <f>SUMIF(logs!$M:$M,positions!$A29&amp;positions!C$3,logs!$N:$N)</f>
        <v>0</v>
      </c>
      <c r="D29" s="54">
        <f>SUMIF(logs!$M:$M,positions!$A29&amp;positions!D$3,logs!$N:$N)</f>
        <v>0</v>
      </c>
      <c r="E29" s="54">
        <f>SUMIF(logs!$M:$M,positions!$A29&amp;positions!E$3,logs!$N:$N)</f>
        <v>0</v>
      </c>
      <c r="F29" s="54">
        <f>SUMIF(logs!$M:$M,positions!$A29&amp;positions!F$3,logs!$N:$N)</f>
        <v>0</v>
      </c>
      <c r="G29" s="54">
        <f>SUMIF(logs!$M:$M,positions!$A29&amp;positions!G$3,logs!$N:$N)</f>
        <v>0</v>
      </c>
      <c r="H29" s="54">
        <f>SUMIF(logs!$M:$M,positions!$A29&amp;positions!H$3,logs!$N:$N)</f>
        <v>0</v>
      </c>
      <c r="I29" s="54">
        <f>SUMIF(logs!$M:$M,positions!$A29&amp;positions!I$3,logs!$N:$N)</f>
        <v>0</v>
      </c>
      <c r="J29" s="54">
        <f>SUMIF(logs!$M:$M,positions!$A29&amp;positions!J$3,logs!$N:$N)</f>
        <v>0</v>
      </c>
      <c r="K29" s="54">
        <f>SUMIF(logs!$M:$M,positions!$A29&amp;positions!K$3,logs!$N:$N)</f>
        <v>0</v>
      </c>
      <c r="L29" s="54">
        <f>SUMIF(logs!$M:$M,positions!$A29&amp;positions!L$3,logs!$N:$N)</f>
        <v>0</v>
      </c>
      <c r="M29" s="54">
        <f>SUMIF(logs!$M:$M,positions!$A29&amp;positions!M$3,logs!$N:$N)</f>
        <v>0</v>
      </c>
      <c r="N29" s="54">
        <f>SUMIF(logs!$M:$M,positions!$A29&amp;positions!N$3,logs!$N:$N)</f>
        <v>0</v>
      </c>
      <c r="O29" s="55">
        <f t="shared" si="0"/>
        <v>0</v>
      </c>
    </row>
    <row r="30" spans="1:15" x14ac:dyDescent="0.35">
      <c r="A30" s="44" t="s">
        <v>118</v>
      </c>
      <c r="B30" s="54">
        <f>SUMIF(logs!$M:$M,positions!$A30&amp;positions!B$3,logs!$N:$N)</f>
        <v>0</v>
      </c>
      <c r="C30" s="54">
        <f>SUMIF(logs!$M:$M,positions!$A30&amp;positions!C$3,logs!$N:$N)</f>
        <v>0</v>
      </c>
      <c r="D30" s="54">
        <f>SUMIF(logs!$M:$M,positions!$A30&amp;positions!D$3,logs!$N:$N)</f>
        <v>0</v>
      </c>
      <c r="E30" s="54">
        <f>SUMIF(logs!$M:$M,positions!$A30&amp;positions!E$3,logs!$N:$N)</f>
        <v>0</v>
      </c>
      <c r="F30" s="54">
        <f>SUMIF(logs!$M:$M,positions!$A30&amp;positions!F$3,logs!$N:$N)</f>
        <v>0</v>
      </c>
      <c r="G30" s="54">
        <f>SUMIF(logs!$M:$M,positions!$A30&amp;positions!G$3,logs!$N:$N)</f>
        <v>0</v>
      </c>
      <c r="H30" s="54">
        <f>SUMIF(logs!$M:$M,positions!$A30&amp;positions!H$3,logs!$N:$N)</f>
        <v>0</v>
      </c>
      <c r="I30" s="54">
        <f>SUMIF(logs!$M:$M,positions!$A30&amp;positions!I$3,logs!$N:$N)</f>
        <v>0</v>
      </c>
      <c r="J30" s="54">
        <f>SUMIF(logs!$M:$M,positions!$A30&amp;positions!J$3,logs!$N:$N)</f>
        <v>0</v>
      </c>
      <c r="K30" s="54">
        <f>SUMIF(logs!$M:$M,positions!$A30&amp;positions!K$3,logs!$N:$N)</f>
        <v>0</v>
      </c>
      <c r="L30" s="54">
        <f>SUMIF(logs!$M:$M,positions!$A30&amp;positions!L$3,logs!$N:$N)</f>
        <v>0</v>
      </c>
      <c r="M30" s="54">
        <f>SUMIF(logs!$M:$M,positions!$A30&amp;positions!M$3,logs!$N:$N)</f>
        <v>0</v>
      </c>
      <c r="N30" s="54">
        <f>SUMIF(logs!$M:$M,positions!$A30&amp;positions!N$3,logs!$N:$N)</f>
        <v>0</v>
      </c>
      <c r="O30" s="55">
        <f t="shared" si="0"/>
        <v>0</v>
      </c>
    </row>
    <row r="31" spans="1:15" x14ac:dyDescent="0.35">
      <c r="A31" s="47" t="s">
        <v>204</v>
      </c>
      <c r="B31" s="50">
        <f>SUM(B4:B30)</f>
        <v>4082.7436037016873</v>
      </c>
      <c r="C31" s="50">
        <f t="shared" ref="C31:O31" si="1">SUM(C4:C30)</f>
        <v>-1.5241057542768273</v>
      </c>
      <c r="D31" s="50">
        <f t="shared" si="1"/>
        <v>1176.634429700895</v>
      </c>
      <c r="E31" s="50">
        <f t="shared" si="1"/>
        <v>1583.3867932334579</v>
      </c>
      <c r="F31" s="50">
        <f t="shared" si="1"/>
        <v>-7887.4758055571465</v>
      </c>
      <c r="G31" s="50">
        <f t="shared" si="1"/>
        <v>0</v>
      </c>
      <c r="H31" s="50">
        <f t="shared" si="1"/>
        <v>1000</v>
      </c>
      <c r="I31" s="50">
        <f t="shared" si="1"/>
        <v>-2997.3419455507074</v>
      </c>
      <c r="J31" s="50">
        <f t="shared" si="1"/>
        <v>2313.5547087642899</v>
      </c>
      <c r="K31" s="50">
        <f t="shared" si="1"/>
        <v>3762.2996830671182</v>
      </c>
      <c r="L31" s="50">
        <f t="shared" si="1"/>
        <v>-2013.9525178942404</v>
      </c>
      <c r="M31" s="50">
        <f t="shared" si="1"/>
        <v>0</v>
      </c>
      <c r="N31" s="50">
        <f t="shared" si="1"/>
        <v>0</v>
      </c>
      <c r="O31" s="51">
        <f t="shared" si="1"/>
        <v>1018.3248437110771</v>
      </c>
    </row>
    <row r="34" spans="1:15" x14ac:dyDescent="0.35">
      <c r="A34" s="46" t="s">
        <v>215</v>
      </c>
      <c r="B34" s="43" t="s">
        <v>21</v>
      </c>
      <c r="C34" s="43" t="s">
        <v>24</v>
      </c>
      <c r="D34" s="43" t="s">
        <v>26</v>
      </c>
      <c r="E34" s="43" t="s">
        <v>29</v>
      </c>
      <c r="F34" s="43" t="s">
        <v>4</v>
      </c>
      <c r="G34" s="43" t="s">
        <v>35</v>
      </c>
      <c r="H34" s="43" t="s">
        <v>38</v>
      </c>
      <c r="I34" s="43" t="s">
        <v>41</v>
      </c>
      <c r="J34" s="43" t="s">
        <v>46</v>
      </c>
      <c r="K34" s="43" t="s">
        <v>6</v>
      </c>
      <c r="L34" s="43" t="s">
        <v>51</v>
      </c>
      <c r="M34" s="43" t="s">
        <v>54</v>
      </c>
      <c r="N34" s="43" t="s">
        <v>57</v>
      </c>
      <c r="O34" s="47" t="s">
        <v>204</v>
      </c>
    </row>
    <row r="35" spans="1:15" x14ac:dyDescent="0.35">
      <c r="A35" s="44" t="s">
        <v>3</v>
      </c>
      <c r="B35" s="48">
        <f>SUMIF(logs!$M:$M,positions!$A35&amp;positions!B$3,logs!$P:$P)</f>
        <v>0</v>
      </c>
      <c r="C35" s="48">
        <f>SUMIF(logs!$M:$M,positions!$A35&amp;positions!C$3,logs!$P:$P)</f>
        <v>0</v>
      </c>
      <c r="D35" s="48">
        <f>SUMIF(logs!$M:$M,positions!$A35&amp;positions!D$3,logs!$P:$P)</f>
        <v>0</v>
      </c>
      <c r="E35" s="48">
        <f>SUMIF(logs!$M:$M,positions!$A35&amp;positions!E$3,logs!$P:$P)</f>
        <v>0</v>
      </c>
      <c r="F35" s="48">
        <f>SUMIF(logs!$M:$M,positions!$A35&amp;positions!F$3,logs!$P:$P)</f>
        <v>-2779440</v>
      </c>
      <c r="G35" s="48">
        <f>SUMIF(logs!$M:$M,positions!$A35&amp;positions!G$3,logs!$P:$P)</f>
        <v>0</v>
      </c>
      <c r="H35" s="48">
        <f>SUMIF(logs!$M:$M,positions!$A35&amp;positions!H$3,logs!$P:$P)</f>
        <v>0</v>
      </c>
      <c r="I35" s="48">
        <f>SUMIF(logs!$M:$M,positions!$A35&amp;positions!I$3,logs!$P:$P)</f>
        <v>0</v>
      </c>
      <c r="J35" s="48">
        <f>SUMIF(logs!$M:$M,positions!$A35&amp;positions!J$3,logs!$P:$P)</f>
        <v>0</v>
      </c>
      <c r="K35" s="48">
        <f>SUMIF(logs!$M:$M,positions!$A35&amp;positions!K$3,logs!$P:$P)</f>
        <v>4567080</v>
      </c>
      <c r="L35" s="48">
        <f>SUMIF(logs!$M:$M,positions!$A35&amp;positions!L$3,logs!$P:$P)</f>
        <v>-1407480</v>
      </c>
      <c r="M35" s="48">
        <f>SUMIF(logs!$M:$M,positions!$A35&amp;positions!M$3,logs!$P:$P)</f>
        <v>0</v>
      </c>
      <c r="N35" s="48">
        <f>SUMIF(logs!$M:$M,positions!$A35&amp;positions!N$3,logs!$P:$P)</f>
        <v>0</v>
      </c>
      <c r="O35" s="49">
        <f>SUM(B35:N35)</f>
        <v>380160</v>
      </c>
    </row>
    <row r="36" spans="1:15" x14ac:dyDescent="0.35">
      <c r="A36" s="44" t="s">
        <v>18</v>
      </c>
      <c r="B36" s="48">
        <f>SUMIF(logs!$M:$M,positions!$A36&amp;positions!B$3,logs!$P:$P)</f>
        <v>0</v>
      </c>
      <c r="C36" s="48">
        <f>SUMIF(logs!$M:$M,positions!$A36&amp;positions!C$3,logs!$P:$P)</f>
        <v>0</v>
      </c>
      <c r="D36" s="48">
        <f>SUMIF(logs!$M:$M,positions!$A36&amp;positions!D$3,logs!$P:$P)</f>
        <v>-1002820.0515388729</v>
      </c>
      <c r="E36" s="48">
        <f>SUMIF(logs!$M:$M,positions!$A36&amp;positions!E$3,logs!$P:$P)</f>
        <v>0</v>
      </c>
      <c r="F36" s="48">
        <f>SUMIF(logs!$M:$M,positions!$A36&amp;positions!F$3,logs!$P:$P)</f>
        <v>-1410025.7694364756</v>
      </c>
      <c r="G36" s="48">
        <f>SUMIF(logs!$M:$M,positions!$A36&amp;positions!G$3,logs!$P:$P)</f>
        <v>0</v>
      </c>
      <c r="H36" s="48">
        <f>SUMIF(logs!$M:$M,positions!$A36&amp;positions!H$3,logs!$P:$P)</f>
        <v>1361404.1911800455</v>
      </c>
      <c r="I36" s="48">
        <f>SUMIF(logs!$M:$M,positions!$A36&amp;positions!I$3,logs!$P:$P)</f>
        <v>0</v>
      </c>
      <c r="J36" s="48">
        <f>SUMIF(logs!$M:$M,positions!$A36&amp;positions!J$3,logs!$P:$P)</f>
        <v>0</v>
      </c>
      <c r="K36" s="48">
        <f>SUMIF(logs!$M:$M,positions!$A36&amp;positions!K$3,logs!$P:$P)</f>
        <v>0</v>
      </c>
      <c r="L36" s="48">
        <f>SUMIF(logs!$M:$M,positions!$A36&amp;positions!L$3,logs!$P:$P)</f>
        <v>0</v>
      </c>
      <c r="M36" s="48">
        <f>SUMIF(logs!$M:$M,positions!$A36&amp;positions!M$3,logs!$P:$P)</f>
        <v>0</v>
      </c>
      <c r="N36" s="48">
        <f>SUMIF(logs!$M:$M,positions!$A36&amp;positions!N$3,logs!$P:$P)</f>
        <v>0</v>
      </c>
      <c r="O36" s="49">
        <f t="shared" ref="O36:O61" si="2">SUM(B36:N36)</f>
        <v>-1051441.6297953029</v>
      </c>
    </row>
    <row r="37" spans="1:15" x14ac:dyDescent="0.35">
      <c r="A37" s="44" t="s">
        <v>22</v>
      </c>
      <c r="B37" s="48">
        <f>SUMIF(logs!$M:$M,positions!$A37&amp;positions!B$3,logs!$P:$P)</f>
        <v>0</v>
      </c>
      <c r="C37" s="48">
        <f>SUMIF(logs!$M:$M,positions!$A37&amp;positions!C$3,logs!$P:$P)</f>
        <v>0</v>
      </c>
      <c r="D37" s="48">
        <f>SUMIF(logs!$M:$M,positions!$A37&amp;positions!D$3,logs!$P:$P)</f>
        <v>-1617486.2601789774</v>
      </c>
      <c r="E37" s="48">
        <f>SUMIF(logs!$M:$M,positions!$A37&amp;positions!E$3,logs!$P:$P)</f>
        <v>0</v>
      </c>
      <c r="F37" s="48">
        <f>SUMIF(logs!$M:$M,positions!$A37&amp;positions!F$3,logs!$P:$P)</f>
        <v>0</v>
      </c>
      <c r="G37" s="48">
        <f>SUMIF(logs!$M:$M,positions!$A37&amp;positions!G$3,logs!$P:$P)</f>
        <v>0</v>
      </c>
      <c r="H37" s="48">
        <f>SUMIF(logs!$M:$M,positions!$A37&amp;positions!H$3,logs!$P:$P)</f>
        <v>1583820.1018617097</v>
      </c>
      <c r="I37" s="48">
        <f>SUMIF(logs!$M:$M,positions!$A37&amp;positions!I$3,logs!$P:$P)</f>
        <v>0</v>
      </c>
      <c r="J37" s="48">
        <f>SUMIF(logs!$M:$M,positions!$A37&amp;positions!J$3,logs!$P:$P)</f>
        <v>0</v>
      </c>
      <c r="K37" s="48">
        <f>SUMIF(logs!$M:$M,positions!$A37&amp;positions!K$3,logs!$P:$P)</f>
        <v>0</v>
      </c>
      <c r="L37" s="48">
        <f>SUMIF(logs!$M:$M,positions!$A37&amp;positions!L$3,logs!$P:$P)</f>
        <v>0</v>
      </c>
      <c r="M37" s="48">
        <f>SUMIF(logs!$M:$M,positions!$A37&amp;positions!M$3,logs!$P:$P)</f>
        <v>0</v>
      </c>
      <c r="N37" s="48">
        <f>SUMIF(logs!$M:$M,positions!$A37&amp;positions!N$3,logs!$P:$P)</f>
        <v>0</v>
      </c>
      <c r="O37" s="49">
        <f t="shared" si="2"/>
        <v>-33666.158317267662</v>
      </c>
    </row>
    <row r="38" spans="1:15" x14ac:dyDescent="0.35">
      <c r="A38" s="44" t="s">
        <v>139</v>
      </c>
      <c r="B38" s="48">
        <f>SUMIF(logs!$M:$M,positions!$A38&amp;positions!B$3,logs!$P:$P)</f>
        <v>0</v>
      </c>
      <c r="C38" s="48">
        <f>SUMIF(logs!$M:$M,positions!$A38&amp;positions!C$3,logs!$P:$P)</f>
        <v>0</v>
      </c>
      <c r="D38" s="48">
        <f>SUMIF(logs!$M:$M,positions!$A38&amp;positions!D$3,logs!$P:$P)</f>
        <v>0</v>
      </c>
      <c r="E38" s="48">
        <f>SUMIF(logs!$M:$M,positions!$A38&amp;positions!E$3,logs!$P:$P)</f>
        <v>0</v>
      </c>
      <c r="F38" s="48">
        <f>SUMIF(logs!$M:$M,positions!$A38&amp;positions!F$3,logs!$P:$P)</f>
        <v>0</v>
      </c>
      <c r="G38" s="48">
        <f>SUMIF(logs!$M:$M,positions!$A38&amp;positions!G$3,logs!$P:$P)</f>
        <v>0</v>
      </c>
      <c r="H38" s="48">
        <f>SUMIF(logs!$M:$M,positions!$A38&amp;positions!H$3,logs!$P:$P)</f>
        <v>0</v>
      </c>
      <c r="I38" s="48">
        <f>SUMIF(logs!$M:$M,positions!$A38&amp;positions!I$3,logs!$P:$P)</f>
        <v>0</v>
      </c>
      <c r="J38" s="48">
        <f>SUMIF(logs!$M:$M,positions!$A38&amp;positions!J$3,logs!$P:$P)</f>
        <v>0</v>
      </c>
      <c r="K38" s="48">
        <f>SUMIF(logs!$M:$M,positions!$A38&amp;positions!K$3,logs!$P:$P)</f>
        <v>0</v>
      </c>
      <c r="L38" s="48">
        <f>SUMIF(logs!$M:$M,positions!$A38&amp;positions!L$3,logs!$P:$P)</f>
        <v>0</v>
      </c>
      <c r="M38" s="48">
        <f>SUMIF(logs!$M:$M,positions!$A38&amp;positions!M$3,logs!$P:$P)</f>
        <v>0</v>
      </c>
      <c r="N38" s="48">
        <f>SUMIF(logs!$M:$M,positions!$A38&amp;positions!N$3,logs!$P:$P)</f>
        <v>0</v>
      </c>
      <c r="O38" s="49">
        <f t="shared" si="2"/>
        <v>0</v>
      </c>
    </row>
    <row r="39" spans="1:15" x14ac:dyDescent="0.35">
      <c r="A39" s="44" t="s">
        <v>27</v>
      </c>
      <c r="B39" s="48">
        <f>SUMIF(logs!$M:$M,positions!$A39&amp;positions!B$3,logs!$P:$P)</f>
        <v>0</v>
      </c>
      <c r="C39" s="48">
        <f>SUMIF(logs!$M:$M,positions!$A39&amp;positions!C$3,logs!$P:$P)</f>
        <v>0</v>
      </c>
      <c r="D39" s="48">
        <f>SUMIF(logs!$M:$M,positions!$A39&amp;positions!D$3,logs!$P:$P)</f>
        <v>780939.77498345473</v>
      </c>
      <c r="E39" s="48">
        <f>SUMIF(logs!$M:$M,positions!$A39&amp;positions!E$3,logs!$P:$P)</f>
        <v>0</v>
      </c>
      <c r="F39" s="48">
        <f>SUMIF(logs!$M:$M,positions!$A39&amp;positions!F$3,logs!$P:$P)</f>
        <v>0</v>
      </c>
      <c r="G39" s="48">
        <f>SUMIF(logs!$M:$M,positions!$A39&amp;positions!G$3,logs!$P:$P)</f>
        <v>0</v>
      </c>
      <c r="H39" s="48">
        <f>SUMIF(logs!$M:$M,positions!$A39&amp;positions!H$3,logs!$P:$P)</f>
        <v>0</v>
      </c>
      <c r="I39" s="48">
        <f>SUMIF(logs!$M:$M,positions!$A39&amp;positions!I$3,logs!$P:$P)</f>
        <v>0</v>
      </c>
      <c r="J39" s="48">
        <f>SUMIF(logs!$M:$M,positions!$A39&amp;positions!J$3,logs!$P:$P)</f>
        <v>0</v>
      </c>
      <c r="K39" s="48">
        <f>SUMIF(logs!$M:$M,positions!$A39&amp;positions!K$3,logs!$P:$P)</f>
        <v>0</v>
      </c>
      <c r="L39" s="48">
        <f>SUMIF(logs!$M:$M,positions!$A39&amp;positions!L$3,logs!$P:$P)</f>
        <v>0</v>
      </c>
      <c r="M39" s="48">
        <f>SUMIF(logs!$M:$M,positions!$A39&amp;positions!M$3,logs!$P:$P)</f>
        <v>0</v>
      </c>
      <c r="N39" s="48">
        <f>SUMIF(logs!$M:$M,positions!$A39&amp;positions!N$3,logs!$P:$P)</f>
        <v>0</v>
      </c>
      <c r="O39" s="49">
        <f t="shared" si="2"/>
        <v>780939.77498345473</v>
      </c>
    </row>
    <row r="40" spans="1:15" x14ac:dyDescent="0.35">
      <c r="A40" s="44" t="s">
        <v>135</v>
      </c>
      <c r="B40" s="48">
        <f>SUMIF(logs!$M:$M,positions!$A40&amp;positions!B$3,logs!$P:$P)</f>
        <v>0</v>
      </c>
      <c r="C40" s="48">
        <f>SUMIF(logs!$M:$M,positions!$A40&amp;positions!C$3,logs!$P:$P)</f>
        <v>0</v>
      </c>
      <c r="D40" s="48">
        <f>SUMIF(logs!$M:$M,positions!$A40&amp;positions!D$3,logs!$P:$P)</f>
        <v>0</v>
      </c>
      <c r="E40" s="48">
        <f>SUMIF(logs!$M:$M,positions!$A40&amp;positions!E$3,logs!$P:$P)</f>
        <v>0</v>
      </c>
      <c r="F40" s="48">
        <f>SUMIF(logs!$M:$M,positions!$A40&amp;positions!F$3,logs!$P:$P)</f>
        <v>0</v>
      </c>
      <c r="G40" s="48">
        <f>SUMIF(logs!$M:$M,positions!$A40&amp;positions!G$3,logs!$P:$P)</f>
        <v>0</v>
      </c>
      <c r="H40" s="48">
        <f>SUMIF(logs!$M:$M,positions!$A40&amp;positions!H$3,logs!$P:$P)</f>
        <v>0</v>
      </c>
      <c r="I40" s="48">
        <f>SUMIF(logs!$M:$M,positions!$A40&amp;positions!I$3,logs!$P:$P)</f>
        <v>0</v>
      </c>
      <c r="J40" s="48">
        <f>SUMIF(logs!$M:$M,positions!$A40&amp;positions!J$3,logs!$P:$P)</f>
        <v>0</v>
      </c>
      <c r="K40" s="48">
        <f>SUMIF(logs!$M:$M,positions!$A40&amp;positions!K$3,logs!$P:$P)</f>
        <v>0</v>
      </c>
      <c r="L40" s="48">
        <f>SUMIF(logs!$M:$M,positions!$A40&amp;positions!L$3,logs!$P:$P)</f>
        <v>0</v>
      </c>
      <c r="M40" s="48">
        <f>SUMIF(logs!$M:$M,positions!$A40&amp;positions!M$3,logs!$P:$P)</f>
        <v>0</v>
      </c>
      <c r="N40" s="48">
        <f>SUMIF(logs!$M:$M,positions!$A40&amp;positions!N$3,logs!$P:$P)</f>
        <v>0</v>
      </c>
      <c r="O40" s="49">
        <f t="shared" si="2"/>
        <v>0</v>
      </c>
    </row>
    <row r="41" spans="1:15" x14ac:dyDescent="0.35">
      <c r="A41" s="44" t="s">
        <v>178</v>
      </c>
      <c r="B41" s="48">
        <f>SUMIF(logs!$M:$M,positions!$A41&amp;positions!B$3,logs!$P:$P)</f>
        <v>0</v>
      </c>
      <c r="C41" s="48">
        <f>SUMIF(logs!$M:$M,positions!$A41&amp;positions!C$3,logs!$P:$P)</f>
        <v>0</v>
      </c>
      <c r="D41" s="48">
        <f>SUMIF(logs!$M:$M,positions!$A41&amp;positions!D$3,logs!$P:$P)</f>
        <v>2158087.0716197165</v>
      </c>
      <c r="E41" s="48">
        <f>SUMIF(logs!$M:$M,positions!$A41&amp;positions!E$3,logs!$P:$P)</f>
        <v>0</v>
      </c>
      <c r="F41" s="48">
        <f>SUMIF(logs!$M:$M,positions!$A41&amp;positions!F$3,logs!$P:$P)</f>
        <v>0</v>
      </c>
      <c r="G41" s="48">
        <f>SUMIF(logs!$M:$M,positions!$A41&amp;positions!G$3,logs!$P:$P)</f>
        <v>0</v>
      </c>
      <c r="H41" s="48">
        <f>SUMIF(logs!$M:$M,positions!$A41&amp;positions!H$3,logs!$P:$P)</f>
        <v>-2050182.7180387306</v>
      </c>
      <c r="I41" s="48">
        <f>SUMIF(logs!$M:$M,positions!$A41&amp;positions!I$3,logs!$P:$P)</f>
        <v>0</v>
      </c>
      <c r="J41" s="48">
        <f>SUMIF(logs!$M:$M,positions!$A41&amp;positions!J$3,logs!$P:$P)</f>
        <v>0</v>
      </c>
      <c r="K41" s="48">
        <f>SUMIF(logs!$M:$M,positions!$A41&amp;positions!K$3,logs!$P:$P)</f>
        <v>0</v>
      </c>
      <c r="L41" s="48">
        <f>SUMIF(logs!$M:$M,positions!$A41&amp;positions!L$3,logs!$P:$P)</f>
        <v>0</v>
      </c>
      <c r="M41" s="48">
        <f>SUMIF(logs!$M:$M,positions!$A41&amp;positions!M$3,logs!$P:$P)</f>
        <v>0</v>
      </c>
      <c r="N41" s="48">
        <f>SUMIF(logs!$M:$M,positions!$A41&amp;positions!N$3,logs!$P:$P)</f>
        <v>0</v>
      </c>
      <c r="O41" s="49">
        <f t="shared" si="2"/>
        <v>107904.35358098592</v>
      </c>
    </row>
    <row r="42" spans="1:15" x14ac:dyDescent="0.35">
      <c r="A42" s="45" t="s">
        <v>25</v>
      </c>
      <c r="B42" s="52">
        <f>SUMIF(logs!$M:$M,positions!$A42&amp;positions!B$3,logs!$P:$P)</f>
        <v>0</v>
      </c>
      <c r="C42" s="52">
        <f>SUMIF(logs!$M:$M,positions!$A42&amp;positions!C$3,logs!$P:$P)</f>
        <v>0</v>
      </c>
      <c r="D42" s="52">
        <f>SUMIF(logs!$M:$M,positions!$A42&amp;positions!D$3,logs!$P:$P)</f>
        <v>0</v>
      </c>
      <c r="E42" s="52">
        <f>SUMIF(logs!$M:$M,positions!$A42&amp;positions!E$3,logs!$P:$P)</f>
        <v>0</v>
      </c>
      <c r="F42" s="52">
        <f>SUMIF(logs!$M:$M,positions!$A42&amp;positions!F$3,logs!$P:$P)</f>
        <v>0</v>
      </c>
      <c r="G42" s="52">
        <f>SUMIF(logs!$M:$M,positions!$A42&amp;positions!G$3,logs!$P:$P)</f>
        <v>0</v>
      </c>
      <c r="H42" s="52">
        <f>SUMIF(logs!$M:$M,positions!$A42&amp;positions!H$3,logs!$P:$P)</f>
        <v>0</v>
      </c>
      <c r="I42" s="52">
        <f>SUMIF(logs!$M:$M,positions!$A42&amp;positions!I$3,logs!$P:$P)</f>
        <v>0</v>
      </c>
      <c r="J42" s="52">
        <f>SUMIF(logs!$M:$M,positions!$A42&amp;positions!J$3,logs!$P:$P)</f>
        <v>0</v>
      </c>
      <c r="K42" s="52">
        <f>SUMIF(logs!$M:$M,positions!$A42&amp;positions!K$3,logs!$P:$P)</f>
        <v>7699.9999999999991</v>
      </c>
      <c r="L42" s="52">
        <f>SUMIF(logs!$M:$M,positions!$A42&amp;positions!L$3,logs!$P:$P)</f>
        <v>0</v>
      </c>
      <c r="M42" s="52">
        <f>SUMIF(logs!$M:$M,positions!$A42&amp;positions!M$3,logs!$P:$P)</f>
        <v>0</v>
      </c>
      <c r="N42" s="52">
        <f>SUMIF(logs!$M:$M,positions!$A42&amp;positions!N$3,logs!$P:$P)</f>
        <v>0</v>
      </c>
      <c r="O42" s="53">
        <f t="shared" si="2"/>
        <v>7699.9999999999991</v>
      </c>
    </row>
    <row r="43" spans="1:15" x14ac:dyDescent="0.35">
      <c r="A43" s="44" t="s">
        <v>101</v>
      </c>
      <c r="B43" s="48">
        <f>SUMIF(logs!$M:$M,positions!$A43&amp;positions!B$3,logs!$P:$P)</f>
        <v>0</v>
      </c>
      <c r="C43" s="48">
        <f>SUMIF(logs!$M:$M,positions!$A43&amp;positions!C$3,logs!$P:$P)</f>
        <v>0</v>
      </c>
      <c r="D43" s="48">
        <f>SUMIF(logs!$M:$M,positions!$A43&amp;positions!D$3,logs!$P:$P)</f>
        <v>0</v>
      </c>
      <c r="E43" s="48">
        <f>SUMIF(logs!$M:$M,positions!$A43&amp;positions!E$3,logs!$P:$P)</f>
        <v>0</v>
      </c>
      <c r="F43" s="48">
        <f>SUMIF(logs!$M:$M,positions!$A43&amp;positions!F$3,logs!$P:$P)</f>
        <v>0</v>
      </c>
      <c r="G43" s="48">
        <f>SUMIF(logs!$M:$M,positions!$A43&amp;positions!G$3,logs!$P:$P)</f>
        <v>0</v>
      </c>
      <c r="H43" s="48">
        <f>SUMIF(logs!$M:$M,positions!$A43&amp;positions!H$3,logs!$P:$P)</f>
        <v>0</v>
      </c>
      <c r="I43" s="48">
        <f>SUMIF(logs!$M:$M,positions!$A43&amp;positions!I$3,logs!$P:$P)</f>
        <v>0</v>
      </c>
      <c r="J43" s="48">
        <f>SUMIF(logs!$M:$M,positions!$A43&amp;positions!J$3,logs!$P:$P)</f>
        <v>0</v>
      </c>
      <c r="K43" s="48">
        <f>SUMIF(logs!$M:$M,positions!$A43&amp;positions!K$3,logs!$P:$P)</f>
        <v>0</v>
      </c>
      <c r="L43" s="48">
        <f>SUMIF(logs!$M:$M,positions!$A43&amp;positions!L$3,logs!$P:$P)</f>
        <v>0</v>
      </c>
      <c r="M43" s="48">
        <f>SUMIF(logs!$M:$M,positions!$A43&amp;positions!M$3,logs!$P:$P)</f>
        <v>0</v>
      </c>
      <c r="N43" s="48">
        <f>SUMIF(logs!$M:$M,positions!$A43&amp;positions!N$3,logs!$P:$P)</f>
        <v>0</v>
      </c>
      <c r="O43" s="49">
        <f t="shared" si="2"/>
        <v>0</v>
      </c>
    </row>
    <row r="44" spans="1:15" x14ac:dyDescent="0.35">
      <c r="A44" s="44" t="s">
        <v>163</v>
      </c>
      <c r="B44" s="48">
        <f>SUMIF(logs!$M:$M,positions!$A44&amp;positions!B$3,logs!$P:$P)</f>
        <v>0</v>
      </c>
      <c r="C44" s="48">
        <f>SUMIF(logs!$M:$M,positions!$A44&amp;positions!C$3,logs!$P:$P)</f>
        <v>0</v>
      </c>
      <c r="D44" s="48">
        <f>SUMIF(logs!$M:$M,positions!$A44&amp;positions!D$3,logs!$P:$P)</f>
        <v>0</v>
      </c>
      <c r="E44" s="48">
        <f>SUMIF(logs!$M:$M,positions!$A44&amp;positions!E$3,logs!$P:$P)</f>
        <v>0</v>
      </c>
      <c r="F44" s="48">
        <f>SUMIF(logs!$M:$M,positions!$A44&amp;positions!F$3,logs!$P:$P)</f>
        <v>0</v>
      </c>
      <c r="G44" s="48">
        <f>SUMIF(logs!$M:$M,positions!$A44&amp;positions!G$3,logs!$P:$P)</f>
        <v>0</v>
      </c>
      <c r="H44" s="48">
        <f>SUMIF(logs!$M:$M,positions!$A44&amp;positions!H$3,logs!$P:$P)</f>
        <v>0</v>
      </c>
      <c r="I44" s="48">
        <f>SUMIF(logs!$M:$M,positions!$A44&amp;positions!I$3,logs!$P:$P)</f>
        <v>0</v>
      </c>
      <c r="J44" s="48">
        <f>SUMIF(logs!$M:$M,positions!$A44&amp;positions!J$3,logs!$P:$P)</f>
        <v>0</v>
      </c>
      <c r="K44" s="48">
        <f>SUMIF(logs!$M:$M,positions!$A44&amp;positions!K$3,logs!$P:$P)</f>
        <v>0</v>
      </c>
      <c r="L44" s="48">
        <f>SUMIF(logs!$M:$M,positions!$A44&amp;positions!L$3,logs!$P:$P)</f>
        <v>0</v>
      </c>
      <c r="M44" s="48">
        <f>SUMIF(logs!$M:$M,positions!$A44&amp;positions!M$3,logs!$P:$P)</f>
        <v>0</v>
      </c>
      <c r="N44" s="48">
        <f>SUMIF(logs!$M:$M,positions!$A44&amp;positions!N$3,logs!$P:$P)</f>
        <v>0</v>
      </c>
      <c r="O44" s="49">
        <f t="shared" si="2"/>
        <v>0</v>
      </c>
    </row>
    <row r="45" spans="1:15" x14ac:dyDescent="0.35">
      <c r="A45" s="44" t="s">
        <v>30</v>
      </c>
      <c r="B45" s="48">
        <f>SUMIF(logs!$M:$M,positions!$A45&amp;positions!B$3,logs!$P:$P)</f>
        <v>0</v>
      </c>
      <c r="C45" s="48">
        <f>SUMIF(logs!$M:$M,positions!$A45&amp;positions!C$3,logs!$P:$P)</f>
        <v>0</v>
      </c>
      <c r="D45" s="48">
        <f>SUMIF(logs!$M:$M,positions!$A45&amp;positions!D$3,logs!$P:$P)</f>
        <v>0</v>
      </c>
      <c r="E45" s="48">
        <f>SUMIF(logs!$M:$M,positions!$A45&amp;positions!E$3,logs!$P:$P)</f>
        <v>0</v>
      </c>
      <c r="F45" s="48">
        <f>SUMIF(logs!$M:$M,positions!$A45&amp;positions!F$3,logs!$P:$P)</f>
        <v>-1757500.0000000002</v>
      </c>
      <c r="G45" s="48">
        <f>SUMIF(logs!$M:$M,positions!$A45&amp;positions!G$3,logs!$P:$P)</f>
        <v>0</v>
      </c>
      <c r="H45" s="48">
        <f>SUMIF(logs!$M:$M,positions!$A45&amp;positions!H$3,logs!$P:$P)</f>
        <v>0</v>
      </c>
      <c r="I45" s="48">
        <f>SUMIF(logs!$M:$M,positions!$A45&amp;positions!I$3,logs!$P:$P)</f>
        <v>0</v>
      </c>
      <c r="J45" s="48">
        <f>SUMIF(logs!$M:$M,positions!$A45&amp;positions!J$3,logs!$P:$P)</f>
        <v>770500.00000000023</v>
      </c>
      <c r="K45" s="48">
        <f>SUMIF(logs!$M:$M,positions!$A45&amp;positions!K$3,logs!$P:$P)</f>
        <v>0</v>
      </c>
      <c r="L45" s="48">
        <f>SUMIF(logs!$M:$M,positions!$A45&amp;positions!L$3,logs!$P:$P)</f>
        <v>0</v>
      </c>
      <c r="M45" s="48">
        <f>SUMIF(logs!$M:$M,positions!$A45&amp;positions!M$3,logs!$P:$P)</f>
        <v>0</v>
      </c>
      <c r="N45" s="48">
        <f>SUMIF(logs!$M:$M,positions!$A45&amp;positions!N$3,logs!$P:$P)</f>
        <v>0</v>
      </c>
      <c r="O45" s="49">
        <f t="shared" si="2"/>
        <v>-987000</v>
      </c>
    </row>
    <row r="46" spans="1:15" x14ac:dyDescent="0.35">
      <c r="A46" s="44" t="s">
        <v>33</v>
      </c>
      <c r="B46" s="48">
        <f>SUMIF(logs!$M:$M,positions!$A46&amp;positions!B$3,logs!$P:$P)</f>
        <v>1320000</v>
      </c>
      <c r="C46" s="48">
        <f>SUMIF(logs!$M:$M,positions!$A46&amp;positions!C$3,logs!$P:$P)</f>
        <v>0</v>
      </c>
      <c r="D46" s="48">
        <f>SUMIF(logs!$M:$M,positions!$A46&amp;positions!D$3,logs!$P:$P)</f>
        <v>-1335000</v>
      </c>
      <c r="E46" s="48">
        <f>SUMIF(logs!$M:$M,positions!$A46&amp;positions!E$3,logs!$P:$P)</f>
        <v>0</v>
      </c>
      <c r="F46" s="48">
        <f>SUMIF(logs!$M:$M,positions!$A46&amp;positions!F$3,logs!$P:$P)</f>
        <v>0</v>
      </c>
      <c r="G46" s="48">
        <f>SUMIF(logs!$M:$M,positions!$A46&amp;positions!G$3,logs!$P:$P)</f>
        <v>0</v>
      </c>
      <c r="H46" s="48">
        <f>SUMIF(logs!$M:$M,positions!$A46&amp;positions!H$3,logs!$P:$P)</f>
        <v>0</v>
      </c>
      <c r="I46" s="48">
        <f>SUMIF(logs!$M:$M,positions!$A46&amp;positions!I$3,logs!$P:$P)</f>
        <v>0</v>
      </c>
      <c r="J46" s="48">
        <f>SUMIF(logs!$M:$M,positions!$A46&amp;positions!J$3,logs!$P:$P)</f>
        <v>0</v>
      </c>
      <c r="K46" s="48">
        <f>SUMIF(logs!$M:$M,positions!$A46&amp;positions!K$3,logs!$P:$P)</f>
        <v>0</v>
      </c>
      <c r="L46" s="48">
        <f>SUMIF(logs!$M:$M,positions!$A46&amp;positions!L$3,logs!$P:$P)</f>
        <v>0</v>
      </c>
      <c r="M46" s="48">
        <f>SUMIF(logs!$M:$M,positions!$A46&amp;positions!M$3,logs!$P:$P)</f>
        <v>0</v>
      </c>
      <c r="N46" s="48">
        <f>SUMIF(logs!$M:$M,positions!$A46&amp;positions!N$3,logs!$P:$P)</f>
        <v>0</v>
      </c>
      <c r="O46" s="49">
        <f t="shared" si="2"/>
        <v>-15000</v>
      </c>
    </row>
    <row r="47" spans="1:15" x14ac:dyDescent="0.35">
      <c r="A47" s="44" t="s">
        <v>36</v>
      </c>
      <c r="B47" s="48">
        <f>SUMIF(logs!$M:$M,positions!$A47&amp;positions!B$3,logs!$P:$P)</f>
        <v>0</v>
      </c>
      <c r="C47" s="48">
        <f>SUMIF(logs!$M:$M,positions!$A47&amp;positions!C$3,logs!$P:$P)</f>
        <v>0</v>
      </c>
      <c r="D47" s="48">
        <f>SUMIF(logs!$M:$M,positions!$A47&amp;positions!D$3,logs!$P:$P)</f>
        <v>0</v>
      </c>
      <c r="E47" s="48">
        <f>SUMIF(logs!$M:$M,positions!$A47&amp;positions!E$3,logs!$P:$P)</f>
        <v>0</v>
      </c>
      <c r="F47" s="48">
        <f>SUMIF(logs!$M:$M,positions!$A47&amp;positions!F$3,logs!$P:$P)</f>
        <v>0</v>
      </c>
      <c r="G47" s="48">
        <f>SUMIF(logs!$M:$M,positions!$A47&amp;positions!G$3,logs!$P:$P)</f>
        <v>0</v>
      </c>
      <c r="H47" s="48">
        <f>SUMIF(logs!$M:$M,positions!$A47&amp;positions!H$3,logs!$P:$P)</f>
        <v>0</v>
      </c>
      <c r="I47" s="48">
        <f>SUMIF(logs!$M:$M,positions!$A47&amp;positions!I$3,logs!$P:$P)</f>
        <v>0</v>
      </c>
      <c r="J47" s="48">
        <f>SUMIF(logs!$M:$M,positions!$A47&amp;positions!J$3,logs!$P:$P)</f>
        <v>0</v>
      </c>
      <c r="K47" s="48">
        <f>SUMIF(logs!$M:$M,positions!$A47&amp;positions!K$3,logs!$P:$P)</f>
        <v>0</v>
      </c>
      <c r="L47" s="48">
        <f>SUMIF(logs!$M:$M,positions!$A47&amp;positions!L$3,logs!$P:$P)</f>
        <v>0</v>
      </c>
      <c r="M47" s="48">
        <f>SUMIF(logs!$M:$M,positions!$A47&amp;positions!M$3,logs!$P:$P)</f>
        <v>0</v>
      </c>
      <c r="N47" s="48">
        <f>SUMIF(logs!$M:$M,positions!$A47&amp;positions!N$3,logs!$P:$P)</f>
        <v>0</v>
      </c>
      <c r="O47" s="49">
        <f t="shared" si="2"/>
        <v>0</v>
      </c>
    </row>
    <row r="48" spans="1:15" x14ac:dyDescent="0.35">
      <c r="A48" s="45" t="s">
        <v>39</v>
      </c>
      <c r="B48" s="52">
        <f>SUMIF(logs!$M:$M,positions!$A48&amp;positions!B$3,logs!$P:$P)</f>
        <v>0</v>
      </c>
      <c r="C48" s="52">
        <f>SUMIF(logs!$M:$M,positions!$A48&amp;positions!C$3,logs!$P:$P)</f>
        <v>0</v>
      </c>
      <c r="D48" s="52">
        <f>SUMIF(logs!$M:$M,positions!$A48&amp;positions!D$3,logs!$P:$P)</f>
        <v>0</v>
      </c>
      <c r="E48" s="52">
        <f>SUMIF(logs!$M:$M,positions!$A48&amp;positions!E$3,logs!$P:$P)</f>
        <v>0</v>
      </c>
      <c r="F48" s="52">
        <f>SUMIF(logs!$M:$M,positions!$A48&amp;positions!F$3,logs!$P:$P)</f>
        <v>437500</v>
      </c>
      <c r="G48" s="52">
        <f>SUMIF(logs!$M:$M,positions!$A48&amp;positions!G$3,logs!$P:$P)</f>
        <v>0</v>
      </c>
      <c r="H48" s="52">
        <f>SUMIF(logs!$M:$M,positions!$A48&amp;positions!H$3,logs!$P:$P)</f>
        <v>0</v>
      </c>
      <c r="I48" s="52">
        <f>SUMIF(logs!$M:$M,positions!$A48&amp;positions!I$3,logs!$P:$P)</f>
        <v>0</v>
      </c>
      <c r="J48" s="52">
        <f>SUMIF(logs!$M:$M,positions!$A48&amp;positions!J$3,logs!$P:$P)</f>
        <v>0</v>
      </c>
      <c r="K48" s="52">
        <f>SUMIF(logs!$M:$M,positions!$A48&amp;positions!K$3,logs!$P:$P)</f>
        <v>-431250</v>
      </c>
      <c r="L48" s="52">
        <f>SUMIF(logs!$M:$M,positions!$A48&amp;positions!L$3,logs!$P:$P)</f>
        <v>0</v>
      </c>
      <c r="M48" s="52">
        <f>SUMIF(logs!$M:$M,positions!$A48&amp;positions!M$3,logs!$P:$P)</f>
        <v>0</v>
      </c>
      <c r="N48" s="52">
        <f>SUMIF(logs!$M:$M,positions!$A48&amp;positions!N$3,logs!$P:$P)</f>
        <v>0</v>
      </c>
      <c r="O48" s="53">
        <f t="shared" si="2"/>
        <v>6250</v>
      </c>
    </row>
    <row r="49" spans="1:15" x14ac:dyDescent="0.35">
      <c r="A49" s="44" t="s">
        <v>63</v>
      </c>
      <c r="B49" s="48">
        <f>SUMIF(logs!$M:$M,positions!$A49&amp;positions!B$3,logs!$P:$P)</f>
        <v>0</v>
      </c>
      <c r="C49" s="48">
        <f>SUMIF(logs!$M:$M,positions!$A49&amp;positions!C$3,logs!$P:$P)</f>
        <v>0</v>
      </c>
      <c r="D49" s="48">
        <f>SUMIF(logs!$M:$M,positions!$A49&amp;positions!D$3,logs!$P:$P)</f>
        <v>0</v>
      </c>
      <c r="E49" s="48">
        <f>SUMIF(logs!$M:$M,positions!$A49&amp;positions!E$3,logs!$P:$P)</f>
        <v>-1512500</v>
      </c>
      <c r="F49" s="48">
        <f>SUMIF(logs!$M:$M,positions!$A49&amp;positions!F$3,logs!$P:$P)</f>
        <v>0</v>
      </c>
      <c r="G49" s="48">
        <f>SUMIF(logs!$M:$M,positions!$A49&amp;positions!G$3,logs!$P:$P)</f>
        <v>0</v>
      </c>
      <c r="H49" s="48">
        <f>SUMIF(logs!$M:$M,positions!$A49&amp;positions!H$3,logs!$P:$P)</f>
        <v>0</v>
      </c>
      <c r="I49" s="48">
        <f>SUMIF(logs!$M:$M,positions!$A49&amp;positions!I$3,logs!$P:$P)</f>
        <v>0</v>
      </c>
      <c r="J49" s="48">
        <f>SUMIF(logs!$M:$M,positions!$A49&amp;positions!J$3,logs!$P:$P)</f>
        <v>0</v>
      </c>
      <c r="K49" s="48">
        <f>SUMIF(logs!$M:$M,positions!$A49&amp;positions!K$3,logs!$P:$P)</f>
        <v>1492499.9999999998</v>
      </c>
      <c r="L49" s="48">
        <f>SUMIF(logs!$M:$M,positions!$A49&amp;positions!L$3,logs!$P:$P)</f>
        <v>0</v>
      </c>
      <c r="M49" s="48">
        <f>SUMIF(logs!$M:$M,positions!$A49&amp;positions!M$3,logs!$P:$P)</f>
        <v>0</v>
      </c>
      <c r="N49" s="48">
        <f>SUMIF(logs!$M:$M,positions!$A49&amp;positions!N$3,logs!$P:$P)</f>
        <v>0</v>
      </c>
      <c r="O49" s="49">
        <f t="shared" si="2"/>
        <v>-20000.000000000233</v>
      </c>
    </row>
    <row r="50" spans="1:15" x14ac:dyDescent="0.35">
      <c r="A50" s="44" t="s">
        <v>68</v>
      </c>
      <c r="B50" s="48">
        <f>SUMIF(logs!$M:$M,positions!$A50&amp;positions!B$3,logs!$P:$P)</f>
        <v>0</v>
      </c>
      <c r="C50" s="48">
        <f>SUMIF(logs!$M:$M,positions!$A50&amp;positions!C$3,logs!$P:$P)</f>
        <v>0</v>
      </c>
      <c r="D50" s="48">
        <f>SUMIF(logs!$M:$M,positions!$A50&amp;positions!D$3,logs!$P:$P)</f>
        <v>0</v>
      </c>
      <c r="E50" s="48">
        <f>SUMIF(logs!$M:$M,positions!$A50&amp;positions!E$3,logs!$P:$P)</f>
        <v>0</v>
      </c>
      <c r="F50" s="48">
        <f>SUMIF(logs!$M:$M,positions!$A50&amp;positions!F$3,logs!$P:$P)</f>
        <v>0</v>
      </c>
      <c r="G50" s="48">
        <f>SUMIF(logs!$M:$M,positions!$A50&amp;positions!G$3,logs!$P:$P)</f>
        <v>0</v>
      </c>
      <c r="H50" s="48">
        <f>SUMIF(logs!$M:$M,positions!$A50&amp;positions!H$3,logs!$P:$P)</f>
        <v>0</v>
      </c>
      <c r="I50" s="48">
        <f>SUMIF(logs!$M:$M,positions!$A50&amp;positions!I$3,logs!$P:$P)</f>
        <v>0</v>
      </c>
      <c r="J50" s="48">
        <f>SUMIF(logs!$M:$M,positions!$A50&amp;positions!J$3,logs!$P:$P)</f>
        <v>0</v>
      </c>
      <c r="K50" s="48">
        <f>SUMIF(logs!$M:$M,positions!$A50&amp;positions!K$3,logs!$P:$P)</f>
        <v>0</v>
      </c>
      <c r="L50" s="48">
        <f>SUMIF(logs!$M:$M,positions!$A50&amp;positions!L$3,logs!$P:$P)</f>
        <v>0</v>
      </c>
      <c r="M50" s="48">
        <f>SUMIF(logs!$M:$M,positions!$A50&amp;positions!M$3,logs!$P:$P)</f>
        <v>0</v>
      </c>
      <c r="N50" s="48">
        <f>SUMIF(logs!$M:$M,positions!$A50&amp;positions!N$3,logs!$P:$P)</f>
        <v>0</v>
      </c>
      <c r="O50" s="49">
        <f t="shared" si="2"/>
        <v>0</v>
      </c>
    </row>
    <row r="51" spans="1:15" x14ac:dyDescent="0.35">
      <c r="A51" s="44" t="s">
        <v>72</v>
      </c>
      <c r="B51" s="48">
        <f>SUMIF(logs!$M:$M,positions!$A51&amp;positions!B$3,logs!$P:$P)</f>
        <v>0</v>
      </c>
      <c r="C51" s="48">
        <f>SUMIF(logs!$M:$M,positions!$A51&amp;positions!C$3,logs!$P:$P)</f>
        <v>0</v>
      </c>
      <c r="D51" s="48">
        <f>SUMIF(logs!$M:$M,positions!$A51&amp;positions!D$3,logs!$P:$P)</f>
        <v>0</v>
      </c>
      <c r="E51" s="48">
        <f>SUMIF(logs!$M:$M,positions!$A51&amp;positions!E$3,logs!$P:$P)</f>
        <v>2668500</v>
      </c>
      <c r="F51" s="48">
        <f>SUMIF(logs!$M:$M,positions!$A51&amp;positions!F$3,logs!$P:$P)</f>
        <v>0</v>
      </c>
      <c r="G51" s="48">
        <f>SUMIF(logs!$M:$M,positions!$A51&amp;positions!G$3,logs!$P:$P)</f>
        <v>0</v>
      </c>
      <c r="H51" s="48">
        <f>SUMIF(logs!$M:$M,positions!$A51&amp;positions!H$3,logs!$P:$P)</f>
        <v>0</v>
      </c>
      <c r="I51" s="48">
        <f>SUMIF(logs!$M:$M,positions!$A51&amp;positions!I$3,logs!$P:$P)</f>
        <v>0</v>
      </c>
      <c r="J51" s="48">
        <f>SUMIF(logs!$M:$M,positions!$A51&amp;positions!J$3,logs!$P:$P)</f>
        <v>0</v>
      </c>
      <c r="K51" s="48">
        <f>SUMIF(logs!$M:$M,positions!$A51&amp;positions!K$3,logs!$P:$P)</f>
        <v>-2677000</v>
      </c>
      <c r="L51" s="48">
        <f>SUMIF(logs!$M:$M,positions!$A51&amp;positions!L$3,logs!$P:$P)</f>
        <v>0</v>
      </c>
      <c r="M51" s="48">
        <f>SUMIF(logs!$M:$M,positions!$A51&amp;positions!M$3,logs!$P:$P)</f>
        <v>0</v>
      </c>
      <c r="N51" s="48">
        <f>SUMIF(logs!$M:$M,positions!$A51&amp;positions!N$3,logs!$P:$P)</f>
        <v>0</v>
      </c>
      <c r="O51" s="49">
        <f t="shared" si="2"/>
        <v>-8500</v>
      </c>
    </row>
    <row r="52" spans="1:15" x14ac:dyDescent="0.35">
      <c r="A52" s="44" t="s">
        <v>75</v>
      </c>
      <c r="B52" s="48">
        <f>SUMIF(logs!$M:$M,positions!$A52&amp;positions!B$3,logs!$P:$P)</f>
        <v>0</v>
      </c>
      <c r="C52" s="48">
        <f>SUMIF(logs!$M:$M,positions!$A52&amp;positions!C$3,logs!$P:$P)</f>
        <v>0</v>
      </c>
      <c r="D52" s="48">
        <f>SUMIF(logs!$M:$M,positions!$A52&amp;positions!D$3,logs!$P:$P)</f>
        <v>0</v>
      </c>
      <c r="E52" s="48">
        <f>SUMIF(logs!$M:$M,positions!$A52&amp;positions!E$3,logs!$P:$P)</f>
        <v>0</v>
      </c>
      <c r="F52" s="48">
        <f>SUMIF(logs!$M:$M,positions!$A52&amp;positions!F$3,logs!$P:$P)</f>
        <v>0</v>
      </c>
      <c r="G52" s="48">
        <f>SUMIF(logs!$M:$M,positions!$A52&amp;positions!G$3,logs!$P:$P)</f>
        <v>0</v>
      </c>
      <c r="H52" s="48">
        <f>SUMIF(logs!$M:$M,positions!$A52&amp;positions!H$3,logs!$P:$P)</f>
        <v>0</v>
      </c>
      <c r="I52" s="48">
        <f>SUMIF(logs!$M:$M,positions!$A52&amp;positions!I$3,logs!$P:$P)</f>
        <v>0</v>
      </c>
      <c r="J52" s="48">
        <f>SUMIF(logs!$M:$M,positions!$A52&amp;positions!J$3,logs!$P:$P)</f>
        <v>0</v>
      </c>
      <c r="K52" s="48">
        <f>SUMIF(logs!$M:$M,positions!$A52&amp;positions!K$3,logs!$P:$P)</f>
        <v>0</v>
      </c>
      <c r="L52" s="48">
        <f>SUMIF(logs!$M:$M,positions!$A52&amp;positions!L$3,logs!$P:$P)</f>
        <v>0</v>
      </c>
      <c r="M52" s="48">
        <f>SUMIF(logs!$M:$M,positions!$A52&amp;positions!M$3,logs!$P:$P)</f>
        <v>0</v>
      </c>
      <c r="N52" s="48">
        <f>SUMIF(logs!$M:$M,positions!$A52&amp;positions!N$3,logs!$P:$P)</f>
        <v>0</v>
      </c>
      <c r="O52" s="49">
        <f t="shared" si="2"/>
        <v>0</v>
      </c>
    </row>
    <row r="53" spans="1:15" x14ac:dyDescent="0.35">
      <c r="A53" s="45" t="s">
        <v>78</v>
      </c>
      <c r="B53" s="52">
        <f>SUMIF(logs!$M:$M,positions!$A53&amp;positions!B$3,logs!$P:$P)</f>
        <v>0</v>
      </c>
      <c r="C53" s="52">
        <f>SUMIF(logs!$M:$M,positions!$A53&amp;positions!C$3,logs!$P:$P)</f>
        <v>0</v>
      </c>
      <c r="D53" s="52">
        <f>SUMIF(logs!$M:$M,positions!$A53&amp;positions!D$3,logs!$P:$P)</f>
        <v>0</v>
      </c>
      <c r="E53" s="52">
        <f>SUMIF(logs!$M:$M,positions!$A53&amp;positions!E$3,logs!$P:$P)</f>
        <v>0</v>
      </c>
      <c r="F53" s="52">
        <f>SUMIF(logs!$M:$M,positions!$A53&amp;positions!F$3,logs!$P:$P)</f>
        <v>0</v>
      </c>
      <c r="G53" s="52">
        <f>SUMIF(logs!$M:$M,positions!$A53&amp;positions!G$3,logs!$P:$P)</f>
        <v>0</v>
      </c>
      <c r="H53" s="52">
        <f>SUMIF(logs!$M:$M,positions!$A53&amp;positions!H$3,logs!$P:$P)</f>
        <v>0</v>
      </c>
      <c r="I53" s="52">
        <f>SUMIF(logs!$M:$M,positions!$A53&amp;positions!I$3,logs!$P:$P)</f>
        <v>0</v>
      </c>
      <c r="J53" s="52">
        <f>SUMIF(logs!$M:$M,positions!$A53&amp;positions!J$3,logs!$P:$P)</f>
        <v>0</v>
      </c>
      <c r="K53" s="52">
        <f>SUMIF(logs!$M:$M,positions!$A53&amp;positions!K$3,logs!$P:$P)</f>
        <v>0</v>
      </c>
      <c r="L53" s="52">
        <f>SUMIF(logs!$M:$M,positions!$A53&amp;positions!L$3,logs!$P:$P)</f>
        <v>0</v>
      </c>
      <c r="M53" s="52">
        <f>SUMIF(logs!$M:$M,positions!$A53&amp;positions!M$3,logs!$P:$P)</f>
        <v>0</v>
      </c>
      <c r="N53" s="52">
        <f>SUMIF(logs!$M:$M,positions!$A53&amp;positions!N$3,logs!$P:$P)</f>
        <v>0</v>
      </c>
      <c r="O53" s="53">
        <f t="shared" si="2"/>
        <v>0</v>
      </c>
    </row>
    <row r="54" spans="1:15" x14ac:dyDescent="0.35">
      <c r="A54" s="44" t="s">
        <v>93</v>
      </c>
      <c r="B54" s="48">
        <f>SUMIF(logs!$M:$M,positions!$A54&amp;positions!B$3,logs!$P:$P)</f>
        <v>0</v>
      </c>
      <c r="C54" s="48">
        <f>SUMIF(logs!$M:$M,positions!$A54&amp;positions!C$3,logs!$P:$P)</f>
        <v>0</v>
      </c>
      <c r="D54" s="48">
        <f>SUMIF(logs!$M:$M,positions!$A54&amp;positions!D$3,logs!$P:$P)</f>
        <v>0</v>
      </c>
      <c r="E54" s="48">
        <f>SUMIF(logs!$M:$M,positions!$A54&amp;positions!E$3,logs!$P:$P)</f>
        <v>0</v>
      </c>
      <c r="F54" s="48">
        <f>SUMIF(logs!$M:$M,positions!$A54&amp;positions!F$3,logs!$P:$P)</f>
        <v>0</v>
      </c>
      <c r="G54" s="48">
        <f>SUMIF(logs!$M:$M,positions!$A54&amp;positions!G$3,logs!$P:$P)</f>
        <v>0</v>
      </c>
      <c r="H54" s="48">
        <f>SUMIF(logs!$M:$M,positions!$A54&amp;positions!H$3,logs!$P:$P)</f>
        <v>0</v>
      </c>
      <c r="I54" s="48">
        <f>SUMIF(logs!$M:$M,positions!$A54&amp;positions!I$3,logs!$P:$P)</f>
        <v>0</v>
      </c>
      <c r="J54" s="48">
        <f>SUMIF(logs!$M:$M,positions!$A54&amp;positions!J$3,logs!$P:$P)</f>
        <v>0</v>
      </c>
      <c r="K54" s="48">
        <f>SUMIF(logs!$M:$M,positions!$A54&amp;positions!K$3,logs!$P:$P)</f>
        <v>0</v>
      </c>
      <c r="L54" s="48">
        <f>SUMIF(logs!$M:$M,positions!$A54&amp;positions!L$3,logs!$P:$P)</f>
        <v>0</v>
      </c>
      <c r="M54" s="48">
        <f>SUMIF(logs!$M:$M,positions!$A54&amp;positions!M$3,logs!$P:$P)</f>
        <v>0</v>
      </c>
      <c r="N54" s="48">
        <f>SUMIF(logs!$M:$M,positions!$A54&amp;positions!N$3,logs!$P:$P)</f>
        <v>0</v>
      </c>
      <c r="O54" s="49">
        <f t="shared" si="2"/>
        <v>0</v>
      </c>
    </row>
    <row r="55" spans="1:15" x14ac:dyDescent="0.35">
      <c r="A55" s="44" t="s">
        <v>97</v>
      </c>
      <c r="B55" s="48">
        <f>SUMIF(logs!$M:$M,positions!$A55&amp;positions!B$3,logs!$P:$P)</f>
        <v>0</v>
      </c>
      <c r="C55" s="48">
        <f>SUMIF(logs!$M:$M,positions!$A55&amp;positions!C$3,logs!$P:$P)</f>
        <v>0</v>
      </c>
      <c r="D55" s="48">
        <f>SUMIF(logs!$M:$M,positions!$A55&amp;positions!D$3,logs!$P:$P)</f>
        <v>1201760</v>
      </c>
      <c r="E55" s="48">
        <f>SUMIF(logs!$M:$M,positions!$A55&amp;positions!E$3,logs!$P:$P)</f>
        <v>0</v>
      </c>
      <c r="F55" s="48">
        <f>SUMIF(logs!$M:$M,positions!$A55&amp;positions!F$3,logs!$P:$P)</f>
        <v>0</v>
      </c>
      <c r="G55" s="48">
        <f>SUMIF(logs!$M:$M,positions!$A55&amp;positions!G$3,logs!$P:$P)</f>
        <v>0</v>
      </c>
      <c r="H55" s="48">
        <f>SUMIF(logs!$M:$M,positions!$A55&amp;positions!H$3,logs!$P:$P)</f>
        <v>0</v>
      </c>
      <c r="I55" s="48">
        <f>SUMIF(logs!$M:$M,positions!$A55&amp;positions!I$3,logs!$P:$P)</f>
        <v>-978096.00000000023</v>
      </c>
      <c r="J55" s="48">
        <f>SUMIF(logs!$M:$M,positions!$A55&amp;positions!J$3,logs!$P:$P)</f>
        <v>0</v>
      </c>
      <c r="K55" s="48">
        <f>SUMIF(logs!$M:$M,positions!$A55&amp;positions!K$3,logs!$P:$P)</f>
        <v>0</v>
      </c>
      <c r="L55" s="48">
        <f>SUMIF(logs!$M:$M,positions!$A55&amp;positions!L$3,logs!$P:$P)</f>
        <v>0</v>
      </c>
      <c r="M55" s="48">
        <f>SUMIF(logs!$M:$M,positions!$A55&amp;positions!M$3,logs!$P:$P)</f>
        <v>0</v>
      </c>
      <c r="N55" s="48">
        <f>SUMIF(logs!$M:$M,positions!$A55&amp;positions!N$3,logs!$P:$P)</f>
        <v>0</v>
      </c>
      <c r="O55" s="49">
        <f t="shared" si="2"/>
        <v>223663.99999999977</v>
      </c>
    </row>
    <row r="56" spans="1:15" x14ac:dyDescent="0.35">
      <c r="A56" s="44" t="s">
        <v>160</v>
      </c>
      <c r="B56" s="48">
        <f>SUMIF(logs!$M:$M,positions!$A56&amp;positions!B$3,logs!$P:$P)</f>
        <v>0</v>
      </c>
      <c r="C56" s="48">
        <f>SUMIF(logs!$M:$M,positions!$A56&amp;positions!C$3,logs!$P:$P)</f>
        <v>0</v>
      </c>
      <c r="D56" s="48">
        <f>SUMIF(logs!$M:$M,positions!$A56&amp;positions!D$3,logs!$P:$P)</f>
        <v>0</v>
      </c>
      <c r="E56" s="48">
        <f>SUMIF(logs!$M:$M,positions!$A56&amp;positions!E$3,logs!$P:$P)</f>
        <v>0</v>
      </c>
      <c r="F56" s="48">
        <f>SUMIF(logs!$M:$M,positions!$A56&amp;positions!F$3,logs!$P:$P)</f>
        <v>0</v>
      </c>
      <c r="G56" s="48">
        <f>SUMIF(logs!$M:$M,positions!$A56&amp;positions!G$3,logs!$P:$P)</f>
        <v>0</v>
      </c>
      <c r="H56" s="48">
        <f>SUMIF(logs!$M:$M,positions!$A56&amp;positions!H$3,logs!$P:$P)</f>
        <v>0</v>
      </c>
      <c r="I56" s="48">
        <f>SUMIF(logs!$M:$M,positions!$A56&amp;positions!I$3,logs!$P:$P)</f>
        <v>0</v>
      </c>
      <c r="J56" s="48">
        <f>SUMIF(logs!$M:$M,positions!$A56&amp;positions!J$3,logs!$P:$P)</f>
        <v>0</v>
      </c>
      <c r="K56" s="48">
        <f>SUMIF(logs!$M:$M,positions!$A56&amp;positions!K$3,logs!$P:$P)</f>
        <v>0</v>
      </c>
      <c r="L56" s="48">
        <f>SUMIF(logs!$M:$M,positions!$A56&amp;positions!L$3,logs!$P:$P)</f>
        <v>0</v>
      </c>
      <c r="M56" s="48">
        <f>SUMIF(logs!$M:$M,positions!$A56&amp;positions!M$3,logs!$P:$P)</f>
        <v>0</v>
      </c>
      <c r="N56" s="48">
        <f>SUMIF(logs!$M:$M,positions!$A56&amp;positions!N$3,logs!$P:$P)</f>
        <v>0</v>
      </c>
      <c r="O56" s="49">
        <f t="shared" si="2"/>
        <v>0</v>
      </c>
    </row>
    <row r="57" spans="1:15" x14ac:dyDescent="0.35">
      <c r="A57" s="45" t="s">
        <v>103</v>
      </c>
      <c r="B57" s="52">
        <f>SUMIF(logs!$M:$M,positions!$A57&amp;positions!B$3,logs!$P:$P)</f>
        <v>0</v>
      </c>
      <c r="C57" s="52">
        <f>SUMIF(logs!$M:$M,positions!$A57&amp;positions!C$3,logs!$P:$P)</f>
        <v>0</v>
      </c>
      <c r="D57" s="52">
        <f>SUMIF(logs!$M:$M,positions!$A57&amp;positions!D$3,logs!$P:$P)</f>
        <v>0</v>
      </c>
      <c r="E57" s="52">
        <f>SUMIF(logs!$M:$M,positions!$A57&amp;positions!E$3,logs!$P:$P)</f>
        <v>0</v>
      </c>
      <c r="F57" s="52">
        <f>SUMIF(logs!$M:$M,positions!$A57&amp;positions!F$3,logs!$P:$P)</f>
        <v>0</v>
      </c>
      <c r="G57" s="52">
        <f>SUMIF(logs!$M:$M,positions!$A57&amp;positions!G$3,logs!$P:$P)</f>
        <v>0</v>
      </c>
      <c r="H57" s="52">
        <f>SUMIF(logs!$M:$M,positions!$A57&amp;positions!H$3,logs!$P:$P)</f>
        <v>0</v>
      </c>
      <c r="I57" s="52">
        <f>SUMIF(logs!$M:$M,positions!$A57&amp;positions!I$3,logs!$P:$P)</f>
        <v>0</v>
      </c>
      <c r="J57" s="52">
        <f>SUMIF(logs!$M:$M,positions!$A57&amp;positions!J$3,logs!$P:$P)</f>
        <v>0</v>
      </c>
      <c r="K57" s="52">
        <f>SUMIF(logs!$M:$M,positions!$A57&amp;positions!K$3,logs!$P:$P)</f>
        <v>0</v>
      </c>
      <c r="L57" s="52">
        <f>SUMIF(logs!$M:$M,positions!$A57&amp;positions!L$3,logs!$P:$P)</f>
        <v>0</v>
      </c>
      <c r="M57" s="52">
        <f>SUMIF(logs!$M:$M,positions!$A57&amp;positions!M$3,logs!$P:$P)</f>
        <v>0</v>
      </c>
      <c r="N57" s="52">
        <f>SUMIF(logs!$M:$M,positions!$A57&amp;positions!N$3,logs!$P:$P)</f>
        <v>0</v>
      </c>
      <c r="O57" s="53">
        <f t="shared" si="2"/>
        <v>0</v>
      </c>
    </row>
    <row r="58" spans="1:15" x14ac:dyDescent="0.35">
      <c r="A58" s="44" t="s">
        <v>107</v>
      </c>
      <c r="B58" s="48">
        <f>SUMIF(logs!$M:$M,positions!$A58&amp;positions!B$3,logs!$P:$P)</f>
        <v>0</v>
      </c>
      <c r="C58" s="48">
        <f>SUMIF(logs!$M:$M,positions!$A58&amp;positions!C$3,logs!$P:$P)</f>
        <v>1680000</v>
      </c>
      <c r="D58" s="48">
        <f>SUMIF(logs!$M:$M,positions!$A58&amp;positions!D$3,logs!$P:$P)</f>
        <v>0</v>
      </c>
      <c r="E58" s="48">
        <f>SUMIF(logs!$M:$M,positions!$A58&amp;positions!E$3,logs!$P:$P)</f>
        <v>12680000</v>
      </c>
      <c r="F58" s="48">
        <f>SUMIF(logs!$M:$M,positions!$A58&amp;positions!F$3,logs!$P:$P)</f>
        <v>0</v>
      </c>
      <c r="G58" s="48">
        <f>SUMIF(logs!$M:$M,positions!$A58&amp;positions!G$3,logs!$P:$P)</f>
        <v>0</v>
      </c>
      <c r="H58" s="48">
        <f>SUMIF(logs!$M:$M,positions!$A58&amp;positions!H$3,logs!$P:$P)</f>
        <v>0</v>
      </c>
      <c r="I58" s="48">
        <f>SUMIF(logs!$M:$M,positions!$A58&amp;positions!I$3,logs!$P:$P)</f>
        <v>0</v>
      </c>
      <c r="J58" s="48">
        <f>SUMIF(logs!$M:$M,positions!$A58&amp;positions!J$3,logs!$P:$P)</f>
        <v>0</v>
      </c>
      <c r="K58" s="48">
        <f>SUMIF(logs!$M:$M,positions!$A58&amp;positions!K$3,logs!$P:$P)</f>
        <v>-4650000</v>
      </c>
      <c r="L58" s="48">
        <f>SUMIF(logs!$M:$M,positions!$A58&amp;positions!L$3,logs!$P:$P)</f>
        <v>0</v>
      </c>
      <c r="M58" s="48">
        <f>SUMIF(logs!$M:$M,positions!$A58&amp;positions!M$3,logs!$P:$P)</f>
        <v>0</v>
      </c>
      <c r="N58" s="48">
        <f>SUMIF(logs!$M:$M,positions!$A58&amp;positions!N$3,logs!$P:$P)</f>
        <v>0</v>
      </c>
      <c r="O58" s="49">
        <f t="shared" si="2"/>
        <v>9710000</v>
      </c>
    </row>
    <row r="59" spans="1:15" x14ac:dyDescent="0.35">
      <c r="A59" s="44" t="s">
        <v>111</v>
      </c>
      <c r="B59" s="48">
        <f>SUMIF(logs!$M:$M,positions!$A59&amp;positions!B$3,logs!$P:$P)</f>
        <v>0</v>
      </c>
      <c r="C59" s="48">
        <f>SUMIF(logs!$M:$M,positions!$A59&amp;positions!C$3,logs!$P:$P)</f>
        <v>-910000</v>
      </c>
      <c r="D59" s="48">
        <f>SUMIF(logs!$M:$M,positions!$A59&amp;positions!D$3,logs!$P:$P)</f>
        <v>0</v>
      </c>
      <c r="E59" s="48">
        <f>SUMIF(logs!$M:$M,positions!$A59&amp;positions!E$3,logs!$P:$P)</f>
        <v>-3660000</v>
      </c>
      <c r="F59" s="48">
        <f>SUMIF(logs!$M:$M,positions!$A59&amp;positions!F$3,logs!$P:$P)</f>
        <v>0</v>
      </c>
      <c r="G59" s="48">
        <f>SUMIF(logs!$M:$M,positions!$A59&amp;positions!G$3,logs!$P:$P)</f>
        <v>0</v>
      </c>
      <c r="H59" s="48">
        <f>SUMIF(logs!$M:$M,positions!$A59&amp;positions!H$3,logs!$P:$P)</f>
        <v>0</v>
      </c>
      <c r="I59" s="48">
        <f>SUMIF(logs!$M:$M,positions!$A59&amp;positions!I$3,logs!$P:$P)</f>
        <v>0</v>
      </c>
      <c r="J59" s="48">
        <f>SUMIF(logs!$M:$M,positions!$A59&amp;positions!J$3,logs!$P:$P)</f>
        <v>0</v>
      </c>
      <c r="K59" s="48">
        <f>SUMIF(logs!$M:$M,positions!$A59&amp;positions!K$3,logs!$P:$P)</f>
        <v>0</v>
      </c>
      <c r="L59" s="48">
        <f>SUMIF(logs!$M:$M,positions!$A59&amp;positions!L$3,logs!$P:$P)</f>
        <v>0</v>
      </c>
      <c r="M59" s="48">
        <f>SUMIF(logs!$M:$M,positions!$A59&amp;positions!M$3,logs!$P:$P)</f>
        <v>0</v>
      </c>
      <c r="N59" s="48">
        <f>SUMIF(logs!$M:$M,positions!$A59&amp;positions!N$3,logs!$P:$P)</f>
        <v>0</v>
      </c>
      <c r="O59" s="49">
        <f t="shared" si="2"/>
        <v>-4570000</v>
      </c>
    </row>
    <row r="60" spans="1:15" x14ac:dyDescent="0.35">
      <c r="A60" s="44" t="s">
        <v>114</v>
      </c>
      <c r="B60" s="48">
        <f>SUMIF(logs!$M:$M,positions!$A60&amp;positions!B$3,logs!$P:$P)</f>
        <v>0</v>
      </c>
      <c r="C60" s="48">
        <f>SUMIF(logs!$M:$M,positions!$A60&amp;positions!C$3,logs!$P:$P)</f>
        <v>0</v>
      </c>
      <c r="D60" s="48">
        <f>SUMIF(logs!$M:$M,positions!$A60&amp;positions!D$3,logs!$P:$P)</f>
        <v>0</v>
      </c>
      <c r="E60" s="48">
        <f>SUMIF(logs!$M:$M,positions!$A60&amp;positions!E$3,logs!$P:$P)</f>
        <v>0</v>
      </c>
      <c r="F60" s="48">
        <f>SUMIF(logs!$M:$M,positions!$A60&amp;positions!F$3,logs!$P:$P)</f>
        <v>0</v>
      </c>
      <c r="G60" s="48">
        <f>SUMIF(logs!$M:$M,positions!$A60&amp;positions!G$3,logs!$P:$P)</f>
        <v>0</v>
      </c>
      <c r="H60" s="48">
        <f>SUMIF(logs!$M:$M,positions!$A60&amp;positions!H$3,logs!$P:$P)</f>
        <v>0</v>
      </c>
      <c r="I60" s="48">
        <f>SUMIF(logs!$M:$M,positions!$A60&amp;positions!I$3,logs!$P:$P)</f>
        <v>0</v>
      </c>
      <c r="J60" s="48">
        <f>SUMIF(logs!$M:$M,positions!$A60&amp;positions!J$3,logs!$P:$P)</f>
        <v>0</v>
      </c>
      <c r="K60" s="48">
        <f>SUMIF(logs!$M:$M,positions!$A60&amp;positions!K$3,logs!$P:$P)</f>
        <v>0</v>
      </c>
      <c r="L60" s="48">
        <f>SUMIF(logs!$M:$M,positions!$A60&amp;positions!L$3,logs!$P:$P)</f>
        <v>0</v>
      </c>
      <c r="M60" s="48">
        <f>SUMIF(logs!$M:$M,positions!$A60&amp;positions!M$3,logs!$P:$P)</f>
        <v>0</v>
      </c>
      <c r="N60" s="48">
        <f>SUMIF(logs!$M:$M,positions!$A60&amp;positions!N$3,logs!$P:$P)</f>
        <v>0</v>
      </c>
      <c r="O60" s="49">
        <f t="shared" si="2"/>
        <v>0</v>
      </c>
    </row>
    <row r="61" spans="1:15" x14ac:dyDescent="0.35">
      <c r="A61" s="44" t="s">
        <v>118</v>
      </c>
      <c r="B61" s="48">
        <f>SUMIF(logs!$M:$M,positions!$A61&amp;positions!B$3,logs!$P:$P)</f>
        <v>0</v>
      </c>
      <c r="C61" s="48">
        <f>SUMIF(logs!$M:$M,positions!$A61&amp;positions!C$3,logs!$P:$P)</f>
        <v>0</v>
      </c>
      <c r="D61" s="48">
        <f>SUMIF(logs!$M:$M,positions!$A61&amp;positions!D$3,logs!$P:$P)</f>
        <v>0</v>
      </c>
      <c r="E61" s="48">
        <f>SUMIF(logs!$M:$M,positions!$A61&amp;positions!E$3,logs!$P:$P)</f>
        <v>0</v>
      </c>
      <c r="F61" s="48">
        <f>SUMIF(logs!$M:$M,positions!$A61&amp;positions!F$3,logs!$P:$P)</f>
        <v>0</v>
      </c>
      <c r="G61" s="48">
        <f>SUMIF(logs!$M:$M,positions!$A61&amp;positions!G$3,logs!$P:$P)</f>
        <v>0</v>
      </c>
      <c r="H61" s="48">
        <f>SUMIF(logs!$M:$M,positions!$A61&amp;positions!H$3,logs!$P:$P)</f>
        <v>0</v>
      </c>
      <c r="I61" s="48">
        <f>SUMIF(logs!$M:$M,positions!$A61&amp;positions!I$3,logs!$P:$P)</f>
        <v>0</v>
      </c>
      <c r="J61" s="48">
        <f>SUMIF(logs!$M:$M,positions!$A61&amp;positions!J$3,logs!$P:$P)</f>
        <v>0</v>
      </c>
      <c r="K61" s="48">
        <f>SUMIF(logs!$M:$M,positions!$A61&amp;positions!K$3,logs!$P:$P)</f>
        <v>0</v>
      </c>
      <c r="L61" s="48">
        <f>SUMIF(logs!$M:$M,positions!$A61&amp;positions!L$3,logs!$P:$P)</f>
        <v>0</v>
      </c>
      <c r="M61" s="48">
        <f>SUMIF(logs!$M:$M,positions!$A61&amp;positions!M$3,logs!$P:$P)</f>
        <v>0</v>
      </c>
      <c r="N61" s="48">
        <f>SUMIF(logs!$M:$M,positions!$A61&amp;positions!N$3,logs!$P:$P)</f>
        <v>0</v>
      </c>
      <c r="O61" s="49">
        <f t="shared" si="2"/>
        <v>0</v>
      </c>
    </row>
    <row r="62" spans="1:15" x14ac:dyDescent="0.35">
      <c r="A62" s="47" t="s">
        <v>204</v>
      </c>
      <c r="B62" s="50">
        <f>SUM(B35:B61)</f>
        <v>1320000</v>
      </c>
      <c r="C62" s="50">
        <f t="shared" ref="C62" si="3">SUM(C35:C61)</f>
        <v>770000</v>
      </c>
      <c r="D62" s="50">
        <f t="shared" ref="D62" si="4">SUM(D35:D61)</f>
        <v>185480.53488532105</v>
      </c>
      <c r="E62" s="50">
        <f t="shared" ref="E62" si="5">SUM(E35:E61)</f>
        <v>10176000</v>
      </c>
      <c r="F62" s="50">
        <f t="shared" ref="F62" si="6">SUM(F35:F61)</f>
        <v>-5509465.7694364758</v>
      </c>
      <c r="G62" s="50">
        <f t="shared" ref="G62" si="7">SUM(G35:G61)</f>
        <v>0</v>
      </c>
      <c r="H62" s="50">
        <f t="shared" ref="H62" si="8">SUM(H35:H61)</f>
        <v>895041.57500302489</v>
      </c>
      <c r="I62" s="50">
        <f t="shared" ref="I62" si="9">SUM(I35:I61)</f>
        <v>-978096.00000000023</v>
      </c>
      <c r="J62" s="50">
        <f t="shared" ref="J62" si="10">SUM(J35:J61)</f>
        <v>770500.00000000023</v>
      </c>
      <c r="K62" s="50">
        <f t="shared" ref="K62" si="11">SUM(K35:K61)</f>
        <v>-1690970</v>
      </c>
      <c r="L62" s="50">
        <f t="shared" ref="L62" si="12">SUM(L35:L61)</f>
        <v>-1407480</v>
      </c>
      <c r="M62" s="50">
        <f t="shared" ref="M62" si="13">SUM(M35:M61)</f>
        <v>0</v>
      </c>
      <c r="N62" s="50">
        <f t="shared" ref="N62" si="14">SUM(N35:N61)</f>
        <v>0</v>
      </c>
      <c r="O62" s="51">
        <f t="shared" ref="O62" si="15">SUM(O35:O61)</f>
        <v>4531010.3404518701</v>
      </c>
    </row>
    <row r="65" spans="1:15" x14ac:dyDescent="0.35">
      <c r="A65" s="46" t="s">
        <v>214</v>
      </c>
      <c r="B65" s="43" t="s">
        <v>21</v>
      </c>
      <c r="C65" s="43" t="s">
        <v>24</v>
      </c>
      <c r="D65" s="43" t="s">
        <v>26</v>
      </c>
      <c r="E65" s="43" t="s">
        <v>29</v>
      </c>
      <c r="F65" s="43" t="s">
        <v>4</v>
      </c>
      <c r="G65" s="43" t="s">
        <v>35</v>
      </c>
      <c r="H65" s="43" t="s">
        <v>38</v>
      </c>
      <c r="I65" s="43" t="s">
        <v>41</v>
      </c>
      <c r="J65" s="43" t="s">
        <v>46</v>
      </c>
      <c r="K65" s="43" t="s">
        <v>6</v>
      </c>
      <c r="L65" s="43" t="s">
        <v>51</v>
      </c>
      <c r="M65" s="43" t="s">
        <v>54</v>
      </c>
      <c r="N65" s="43" t="s">
        <v>57</v>
      </c>
      <c r="O65" s="47" t="s">
        <v>204</v>
      </c>
    </row>
    <row r="66" spans="1:15" x14ac:dyDescent="0.35">
      <c r="A66" s="44" t="s">
        <v>3</v>
      </c>
      <c r="B66" s="48">
        <f>SUMIF(logs!$M:$M,positions!$A66&amp;positions!B$3,logs!$Q:$Q)</f>
        <v>0</v>
      </c>
      <c r="C66" s="48">
        <f>SUMIF(logs!$M:$M,positions!$A66&amp;positions!C$3,logs!$Q:$Q)</f>
        <v>0</v>
      </c>
      <c r="D66" s="48">
        <f>SUMIF(logs!$M:$M,positions!$A66&amp;positions!D$3,logs!$Q:$Q)</f>
        <v>0</v>
      </c>
      <c r="E66" s="48">
        <f>SUMIF(logs!$M:$M,positions!$A66&amp;positions!E$3,logs!$Q:$Q)</f>
        <v>0</v>
      </c>
      <c r="F66" s="48">
        <f>SUMIF(logs!$M:$M,positions!$A66&amp;positions!F$3,logs!$Q:$Q)</f>
        <v>2779440</v>
      </c>
      <c r="G66" s="48">
        <f>SUMIF(logs!$M:$M,positions!$A66&amp;positions!G$3,logs!$Q:$Q)</f>
        <v>0</v>
      </c>
      <c r="H66" s="48">
        <f>SUMIF(logs!$M:$M,positions!$A66&amp;positions!H$3,logs!$Q:$Q)</f>
        <v>0</v>
      </c>
      <c r="I66" s="48">
        <f>SUMIF(logs!$M:$M,positions!$A66&amp;positions!I$3,logs!$Q:$Q)</f>
        <v>0</v>
      </c>
      <c r="J66" s="48">
        <f>SUMIF(logs!$M:$M,positions!$A66&amp;positions!J$3,logs!$Q:$Q)</f>
        <v>0</v>
      </c>
      <c r="K66" s="48">
        <f>SUMIF(logs!$M:$M,positions!$A66&amp;positions!K$3,logs!$Q:$Q)</f>
        <v>4567080</v>
      </c>
      <c r="L66" s="48">
        <f>SUMIF(logs!$M:$M,positions!$A66&amp;positions!L$3,logs!$Q:$Q)</f>
        <v>1407480</v>
      </c>
      <c r="M66" s="48">
        <f>SUMIF(logs!$M:$M,positions!$A66&amp;positions!M$3,logs!$Q:$Q)</f>
        <v>0</v>
      </c>
      <c r="N66" s="48">
        <f>SUMIF(logs!$M:$M,positions!$A66&amp;positions!N$3,logs!$Q:$Q)</f>
        <v>0</v>
      </c>
      <c r="O66" s="49">
        <f>SUM(B66:N66)</f>
        <v>8754000</v>
      </c>
    </row>
    <row r="67" spans="1:15" x14ac:dyDescent="0.35">
      <c r="A67" s="44" t="s">
        <v>18</v>
      </c>
      <c r="B67" s="48">
        <f>SUMIF(logs!$M:$M,positions!$A67&amp;positions!B$3,logs!$Q:$Q)</f>
        <v>0</v>
      </c>
      <c r="C67" s="48">
        <f>SUMIF(logs!$M:$M,positions!$A67&amp;positions!C$3,logs!$Q:$Q)</f>
        <v>0</v>
      </c>
      <c r="D67" s="48">
        <f>SUMIF(logs!$M:$M,positions!$A67&amp;positions!D$3,logs!$Q:$Q)</f>
        <v>1002820.0515388729</v>
      </c>
      <c r="E67" s="48">
        <f>SUMIF(logs!$M:$M,positions!$A67&amp;positions!E$3,logs!$Q:$Q)</f>
        <v>0</v>
      </c>
      <c r="F67" s="48">
        <f>SUMIF(logs!$M:$M,positions!$A67&amp;positions!F$3,logs!$Q:$Q)</f>
        <v>1410025.7694364756</v>
      </c>
      <c r="G67" s="48">
        <f>SUMIF(logs!$M:$M,positions!$A67&amp;positions!G$3,logs!$Q:$Q)</f>
        <v>0</v>
      </c>
      <c r="H67" s="48">
        <f>SUMIF(logs!$M:$M,positions!$A67&amp;positions!H$3,logs!$Q:$Q)</f>
        <v>1361404.1911800455</v>
      </c>
      <c r="I67" s="48">
        <f>SUMIF(logs!$M:$M,positions!$A67&amp;positions!I$3,logs!$Q:$Q)</f>
        <v>0</v>
      </c>
      <c r="J67" s="48">
        <f>SUMIF(logs!$M:$M,positions!$A67&amp;positions!J$3,logs!$Q:$Q)</f>
        <v>0</v>
      </c>
      <c r="K67" s="48">
        <f>SUMIF(logs!$M:$M,positions!$A67&amp;positions!K$3,logs!$Q:$Q)</f>
        <v>0</v>
      </c>
      <c r="L67" s="48">
        <f>SUMIF(logs!$M:$M,positions!$A67&amp;positions!L$3,logs!$Q:$Q)</f>
        <v>0</v>
      </c>
      <c r="M67" s="48">
        <f>SUMIF(logs!$M:$M,positions!$A67&amp;positions!M$3,logs!$Q:$Q)</f>
        <v>0</v>
      </c>
      <c r="N67" s="48">
        <f>SUMIF(logs!$M:$M,positions!$A67&amp;positions!N$3,logs!$Q:$Q)</f>
        <v>0</v>
      </c>
      <c r="O67" s="49">
        <f t="shared" ref="O67:O92" si="16">SUM(B67:N67)</f>
        <v>3774250.0121553941</v>
      </c>
    </row>
    <row r="68" spans="1:15" x14ac:dyDescent="0.35">
      <c r="A68" s="44" t="s">
        <v>22</v>
      </c>
      <c r="B68" s="48">
        <f>SUMIF(logs!$M:$M,positions!$A68&amp;positions!B$3,logs!$Q:$Q)</f>
        <v>0</v>
      </c>
      <c r="C68" s="48">
        <f>SUMIF(logs!$M:$M,positions!$A68&amp;positions!C$3,logs!$Q:$Q)</f>
        <v>0</v>
      </c>
      <c r="D68" s="48">
        <f>SUMIF(logs!$M:$M,positions!$A68&amp;positions!D$3,logs!$Q:$Q)</f>
        <v>1617486.2601789774</v>
      </c>
      <c r="E68" s="48">
        <f>SUMIF(logs!$M:$M,positions!$A68&amp;positions!E$3,logs!$Q:$Q)</f>
        <v>0</v>
      </c>
      <c r="F68" s="48">
        <f>SUMIF(logs!$M:$M,positions!$A68&amp;positions!F$3,logs!$Q:$Q)</f>
        <v>0</v>
      </c>
      <c r="G68" s="48">
        <f>SUMIF(logs!$M:$M,positions!$A68&amp;positions!G$3,logs!$Q:$Q)</f>
        <v>0</v>
      </c>
      <c r="H68" s="48">
        <f>SUMIF(logs!$M:$M,positions!$A68&amp;positions!H$3,logs!$Q:$Q)</f>
        <v>1583820.1018617097</v>
      </c>
      <c r="I68" s="48">
        <f>SUMIF(logs!$M:$M,positions!$A68&amp;positions!I$3,logs!$Q:$Q)</f>
        <v>0</v>
      </c>
      <c r="J68" s="48">
        <f>SUMIF(logs!$M:$M,positions!$A68&amp;positions!J$3,logs!$Q:$Q)</f>
        <v>0</v>
      </c>
      <c r="K68" s="48">
        <f>SUMIF(logs!$M:$M,positions!$A68&amp;positions!K$3,logs!$Q:$Q)</f>
        <v>0</v>
      </c>
      <c r="L68" s="48">
        <f>SUMIF(logs!$M:$M,positions!$A68&amp;positions!L$3,logs!$Q:$Q)</f>
        <v>0</v>
      </c>
      <c r="M68" s="48">
        <f>SUMIF(logs!$M:$M,positions!$A68&amp;positions!M$3,logs!$Q:$Q)</f>
        <v>0</v>
      </c>
      <c r="N68" s="48">
        <f>SUMIF(logs!$M:$M,positions!$A68&amp;positions!N$3,logs!$Q:$Q)</f>
        <v>0</v>
      </c>
      <c r="O68" s="49">
        <f t="shared" si="16"/>
        <v>3201306.3620406874</v>
      </c>
    </row>
    <row r="69" spans="1:15" x14ac:dyDescent="0.35">
      <c r="A69" s="44" t="s">
        <v>139</v>
      </c>
      <c r="B69" s="48">
        <f>SUMIF(logs!$M:$M,positions!$A69&amp;positions!B$3,logs!$Q:$Q)</f>
        <v>0</v>
      </c>
      <c r="C69" s="48">
        <f>SUMIF(logs!$M:$M,positions!$A69&amp;positions!C$3,logs!$Q:$Q)</f>
        <v>0</v>
      </c>
      <c r="D69" s="48">
        <f>SUMIF(logs!$M:$M,positions!$A69&amp;positions!D$3,logs!$Q:$Q)</f>
        <v>0</v>
      </c>
      <c r="E69" s="48">
        <f>SUMIF(logs!$M:$M,positions!$A69&amp;positions!E$3,logs!$Q:$Q)</f>
        <v>0</v>
      </c>
      <c r="F69" s="48">
        <f>SUMIF(logs!$M:$M,positions!$A69&amp;positions!F$3,logs!$Q:$Q)</f>
        <v>0</v>
      </c>
      <c r="G69" s="48">
        <f>SUMIF(logs!$M:$M,positions!$A69&amp;positions!G$3,logs!$Q:$Q)</f>
        <v>0</v>
      </c>
      <c r="H69" s="48">
        <f>SUMIF(logs!$M:$M,positions!$A69&amp;positions!H$3,logs!$Q:$Q)</f>
        <v>0</v>
      </c>
      <c r="I69" s="48">
        <f>SUMIF(logs!$M:$M,positions!$A69&amp;positions!I$3,logs!$Q:$Q)</f>
        <v>0</v>
      </c>
      <c r="J69" s="48">
        <f>SUMIF(logs!$M:$M,positions!$A69&amp;positions!J$3,logs!$Q:$Q)</f>
        <v>0</v>
      </c>
      <c r="K69" s="48">
        <f>SUMIF(logs!$M:$M,positions!$A69&amp;positions!K$3,logs!$Q:$Q)</f>
        <v>0</v>
      </c>
      <c r="L69" s="48">
        <f>SUMIF(logs!$M:$M,positions!$A69&amp;positions!L$3,logs!$Q:$Q)</f>
        <v>0</v>
      </c>
      <c r="M69" s="48">
        <f>SUMIF(logs!$M:$M,positions!$A69&amp;positions!M$3,logs!$Q:$Q)</f>
        <v>0</v>
      </c>
      <c r="N69" s="48">
        <f>SUMIF(logs!$M:$M,positions!$A69&amp;positions!N$3,logs!$Q:$Q)</f>
        <v>0</v>
      </c>
      <c r="O69" s="49">
        <f t="shared" si="16"/>
        <v>0</v>
      </c>
    </row>
    <row r="70" spans="1:15" x14ac:dyDescent="0.35">
      <c r="A70" s="44" t="s">
        <v>27</v>
      </c>
      <c r="B70" s="48">
        <f>SUMIF(logs!$M:$M,positions!$A70&amp;positions!B$3,logs!$Q:$Q)</f>
        <v>0</v>
      </c>
      <c r="C70" s="48">
        <f>SUMIF(logs!$M:$M,positions!$A70&amp;positions!C$3,logs!$Q:$Q)</f>
        <v>0</v>
      </c>
      <c r="D70" s="48">
        <f>SUMIF(logs!$M:$M,positions!$A70&amp;positions!D$3,logs!$Q:$Q)</f>
        <v>780939.77498345473</v>
      </c>
      <c r="E70" s="48">
        <f>SUMIF(logs!$M:$M,positions!$A70&amp;positions!E$3,logs!$Q:$Q)</f>
        <v>0</v>
      </c>
      <c r="F70" s="48">
        <f>SUMIF(logs!$M:$M,positions!$A70&amp;positions!F$3,logs!$Q:$Q)</f>
        <v>0</v>
      </c>
      <c r="G70" s="48">
        <f>SUMIF(logs!$M:$M,positions!$A70&amp;positions!G$3,logs!$Q:$Q)</f>
        <v>0</v>
      </c>
      <c r="H70" s="48">
        <f>SUMIF(logs!$M:$M,positions!$A70&amp;positions!H$3,logs!$Q:$Q)</f>
        <v>0</v>
      </c>
      <c r="I70" s="48">
        <f>SUMIF(logs!$M:$M,positions!$A70&amp;positions!I$3,logs!$Q:$Q)</f>
        <v>0</v>
      </c>
      <c r="J70" s="48">
        <f>SUMIF(logs!$M:$M,positions!$A70&amp;positions!J$3,logs!$Q:$Q)</f>
        <v>0</v>
      </c>
      <c r="K70" s="48">
        <f>SUMIF(logs!$M:$M,positions!$A70&amp;positions!K$3,logs!$Q:$Q)</f>
        <v>0</v>
      </c>
      <c r="L70" s="48">
        <f>SUMIF(logs!$M:$M,positions!$A70&amp;positions!L$3,logs!$Q:$Q)</f>
        <v>0</v>
      </c>
      <c r="M70" s="48">
        <f>SUMIF(logs!$M:$M,positions!$A70&amp;positions!M$3,logs!$Q:$Q)</f>
        <v>0</v>
      </c>
      <c r="N70" s="48">
        <f>SUMIF(logs!$M:$M,positions!$A70&amp;positions!N$3,logs!$Q:$Q)</f>
        <v>0</v>
      </c>
      <c r="O70" s="49">
        <f t="shared" si="16"/>
        <v>780939.77498345473</v>
      </c>
    </row>
    <row r="71" spans="1:15" x14ac:dyDescent="0.35">
      <c r="A71" s="44" t="s">
        <v>135</v>
      </c>
      <c r="B71" s="48">
        <f>SUMIF(logs!$M:$M,positions!$A71&amp;positions!B$3,logs!$Q:$Q)</f>
        <v>0</v>
      </c>
      <c r="C71" s="48">
        <f>SUMIF(logs!$M:$M,positions!$A71&amp;positions!C$3,logs!$Q:$Q)</f>
        <v>0</v>
      </c>
      <c r="D71" s="48">
        <f>SUMIF(logs!$M:$M,positions!$A71&amp;positions!D$3,logs!$Q:$Q)</f>
        <v>0</v>
      </c>
      <c r="E71" s="48">
        <f>SUMIF(logs!$M:$M,positions!$A71&amp;positions!E$3,logs!$Q:$Q)</f>
        <v>0</v>
      </c>
      <c r="F71" s="48">
        <f>SUMIF(logs!$M:$M,positions!$A71&amp;positions!F$3,logs!$Q:$Q)</f>
        <v>0</v>
      </c>
      <c r="G71" s="48">
        <f>SUMIF(logs!$M:$M,positions!$A71&amp;positions!G$3,logs!$Q:$Q)</f>
        <v>0</v>
      </c>
      <c r="H71" s="48">
        <f>SUMIF(logs!$M:$M,positions!$A71&amp;positions!H$3,logs!$Q:$Q)</f>
        <v>0</v>
      </c>
      <c r="I71" s="48">
        <f>SUMIF(logs!$M:$M,positions!$A71&amp;positions!I$3,logs!$Q:$Q)</f>
        <v>0</v>
      </c>
      <c r="J71" s="48">
        <f>SUMIF(logs!$M:$M,positions!$A71&amp;positions!J$3,logs!$Q:$Q)</f>
        <v>0</v>
      </c>
      <c r="K71" s="48">
        <f>SUMIF(logs!$M:$M,positions!$A71&amp;positions!K$3,logs!$Q:$Q)</f>
        <v>0</v>
      </c>
      <c r="L71" s="48">
        <f>SUMIF(logs!$M:$M,positions!$A71&amp;positions!L$3,logs!$Q:$Q)</f>
        <v>0</v>
      </c>
      <c r="M71" s="48">
        <f>SUMIF(logs!$M:$M,positions!$A71&amp;positions!M$3,logs!$Q:$Q)</f>
        <v>0</v>
      </c>
      <c r="N71" s="48">
        <f>SUMIF(logs!$M:$M,positions!$A71&amp;positions!N$3,logs!$Q:$Q)</f>
        <v>0</v>
      </c>
      <c r="O71" s="49">
        <f t="shared" si="16"/>
        <v>0</v>
      </c>
    </row>
    <row r="72" spans="1:15" x14ac:dyDescent="0.35">
      <c r="A72" s="44" t="s">
        <v>178</v>
      </c>
      <c r="B72" s="48">
        <f>SUMIF(logs!$M:$M,positions!$A72&amp;positions!B$3,logs!$Q:$Q)</f>
        <v>0</v>
      </c>
      <c r="C72" s="48">
        <f>SUMIF(logs!$M:$M,positions!$A72&amp;positions!C$3,logs!$Q:$Q)</f>
        <v>0</v>
      </c>
      <c r="D72" s="48">
        <f>SUMIF(logs!$M:$M,positions!$A72&amp;positions!D$3,logs!$Q:$Q)</f>
        <v>2158087.0716197165</v>
      </c>
      <c r="E72" s="48">
        <f>SUMIF(logs!$M:$M,positions!$A72&amp;positions!E$3,logs!$Q:$Q)</f>
        <v>0</v>
      </c>
      <c r="F72" s="48">
        <f>SUMIF(logs!$M:$M,positions!$A72&amp;positions!F$3,logs!$Q:$Q)</f>
        <v>0</v>
      </c>
      <c r="G72" s="48">
        <f>SUMIF(logs!$M:$M,positions!$A72&amp;positions!G$3,logs!$Q:$Q)</f>
        <v>0</v>
      </c>
      <c r="H72" s="48">
        <f>SUMIF(logs!$M:$M,positions!$A72&amp;positions!H$3,logs!$Q:$Q)</f>
        <v>2050182.7180387306</v>
      </c>
      <c r="I72" s="48">
        <f>SUMIF(logs!$M:$M,positions!$A72&amp;positions!I$3,logs!$Q:$Q)</f>
        <v>0</v>
      </c>
      <c r="J72" s="48">
        <f>SUMIF(logs!$M:$M,positions!$A72&amp;positions!J$3,logs!$Q:$Q)</f>
        <v>0</v>
      </c>
      <c r="K72" s="48">
        <f>SUMIF(logs!$M:$M,positions!$A72&amp;positions!K$3,logs!$Q:$Q)</f>
        <v>0</v>
      </c>
      <c r="L72" s="48">
        <f>SUMIF(logs!$M:$M,positions!$A72&amp;positions!L$3,logs!$Q:$Q)</f>
        <v>0</v>
      </c>
      <c r="M72" s="48">
        <f>SUMIF(logs!$M:$M,positions!$A72&amp;positions!M$3,logs!$Q:$Q)</f>
        <v>0</v>
      </c>
      <c r="N72" s="48">
        <f>SUMIF(logs!$M:$M,positions!$A72&amp;positions!N$3,logs!$Q:$Q)</f>
        <v>0</v>
      </c>
      <c r="O72" s="49">
        <f t="shared" si="16"/>
        <v>4208269.7896584468</v>
      </c>
    </row>
    <row r="73" spans="1:15" x14ac:dyDescent="0.35">
      <c r="A73" s="45" t="s">
        <v>25</v>
      </c>
      <c r="B73" s="52">
        <f>SUMIF(logs!$M:$M,positions!$A73&amp;positions!B$3,logs!$Q:$Q)</f>
        <v>0</v>
      </c>
      <c r="C73" s="52">
        <f>SUMIF(logs!$M:$M,positions!$A73&amp;positions!C$3,logs!$Q:$Q)</f>
        <v>0</v>
      </c>
      <c r="D73" s="52">
        <f>SUMIF(logs!$M:$M,positions!$A73&amp;positions!D$3,logs!$Q:$Q)</f>
        <v>0</v>
      </c>
      <c r="E73" s="52">
        <f>SUMIF(logs!$M:$M,positions!$A73&amp;positions!E$3,logs!$Q:$Q)</f>
        <v>0</v>
      </c>
      <c r="F73" s="52">
        <f>SUMIF(logs!$M:$M,positions!$A73&amp;positions!F$3,logs!$Q:$Q)</f>
        <v>0</v>
      </c>
      <c r="G73" s="52">
        <f>SUMIF(logs!$M:$M,positions!$A73&amp;positions!G$3,logs!$Q:$Q)</f>
        <v>0</v>
      </c>
      <c r="H73" s="52">
        <f>SUMIF(logs!$M:$M,positions!$A73&amp;positions!H$3,logs!$Q:$Q)</f>
        <v>0</v>
      </c>
      <c r="I73" s="52">
        <f>SUMIF(logs!$M:$M,positions!$A73&amp;positions!I$3,logs!$Q:$Q)</f>
        <v>0</v>
      </c>
      <c r="J73" s="52">
        <f>SUMIF(logs!$M:$M,positions!$A73&amp;positions!J$3,logs!$Q:$Q)</f>
        <v>0</v>
      </c>
      <c r="K73" s="52">
        <f>SUMIF(logs!$M:$M,positions!$A73&amp;positions!K$3,logs!$Q:$Q)</f>
        <v>7699.9999999999991</v>
      </c>
      <c r="L73" s="52">
        <f>SUMIF(logs!$M:$M,positions!$A73&amp;positions!L$3,logs!$Q:$Q)</f>
        <v>0</v>
      </c>
      <c r="M73" s="52">
        <f>SUMIF(logs!$M:$M,positions!$A73&amp;positions!M$3,logs!$Q:$Q)</f>
        <v>0</v>
      </c>
      <c r="N73" s="52">
        <f>SUMIF(logs!$M:$M,positions!$A73&amp;positions!N$3,logs!$Q:$Q)</f>
        <v>0</v>
      </c>
      <c r="O73" s="53">
        <f t="shared" si="16"/>
        <v>7699.9999999999991</v>
      </c>
    </row>
    <row r="74" spans="1:15" x14ac:dyDescent="0.35">
      <c r="A74" s="44" t="s">
        <v>101</v>
      </c>
      <c r="B74" s="48">
        <f>SUMIF(logs!$M:$M,positions!$A74&amp;positions!B$3,logs!$Q:$Q)</f>
        <v>0</v>
      </c>
      <c r="C74" s="48">
        <f>SUMIF(logs!$M:$M,positions!$A74&amp;positions!C$3,logs!$Q:$Q)</f>
        <v>0</v>
      </c>
      <c r="D74" s="48">
        <f>SUMIF(logs!$M:$M,positions!$A74&amp;positions!D$3,logs!$Q:$Q)</f>
        <v>0</v>
      </c>
      <c r="E74" s="48">
        <f>SUMIF(logs!$M:$M,positions!$A74&amp;positions!E$3,logs!$Q:$Q)</f>
        <v>0</v>
      </c>
      <c r="F74" s="48">
        <f>SUMIF(logs!$M:$M,positions!$A74&amp;positions!F$3,logs!$Q:$Q)</f>
        <v>0</v>
      </c>
      <c r="G74" s="48">
        <f>SUMIF(logs!$M:$M,positions!$A74&amp;positions!G$3,logs!$Q:$Q)</f>
        <v>0</v>
      </c>
      <c r="H74" s="48">
        <f>SUMIF(logs!$M:$M,positions!$A74&amp;positions!H$3,logs!$Q:$Q)</f>
        <v>0</v>
      </c>
      <c r="I74" s="48">
        <f>SUMIF(logs!$M:$M,positions!$A74&amp;positions!I$3,logs!$Q:$Q)</f>
        <v>0</v>
      </c>
      <c r="J74" s="48">
        <f>SUMIF(logs!$M:$M,positions!$A74&amp;positions!J$3,logs!$Q:$Q)</f>
        <v>0</v>
      </c>
      <c r="K74" s="48">
        <f>SUMIF(logs!$M:$M,positions!$A74&amp;positions!K$3,logs!$Q:$Q)</f>
        <v>0</v>
      </c>
      <c r="L74" s="48">
        <f>SUMIF(logs!$M:$M,positions!$A74&amp;positions!L$3,logs!$Q:$Q)</f>
        <v>0</v>
      </c>
      <c r="M74" s="48">
        <f>SUMIF(logs!$M:$M,positions!$A74&amp;positions!M$3,logs!$Q:$Q)</f>
        <v>0</v>
      </c>
      <c r="N74" s="48">
        <f>SUMIF(logs!$M:$M,positions!$A74&amp;positions!N$3,logs!$Q:$Q)</f>
        <v>0</v>
      </c>
      <c r="O74" s="49">
        <f t="shared" si="16"/>
        <v>0</v>
      </c>
    </row>
    <row r="75" spans="1:15" x14ac:dyDescent="0.35">
      <c r="A75" s="44" t="s">
        <v>163</v>
      </c>
      <c r="B75" s="48">
        <f>SUMIF(logs!$M:$M,positions!$A75&amp;positions!B$3,logs!$Q:$Q)</f>
        <v>0</v>
      </c>
      <c r="C75" s="48">
        <f>SUMIF(logs!$M:$M,positions!$A75&amp;positions!C$3,logs!$Q:$Q)</f>
        <v>0</v>
      </c>
      <c r="D75" s="48">
        <f>SUMIF(logs!$M:$M,positions!$A75&amp;positions!D$3,logs!$Q:$Q)</f>
        <v>0</v>
      </c>
      <c r="E75" s="48">
        <f>SUMIF(logs!$M:$M,positions!$A75&amp;positions!E$3,logs!$Q:$Q)</f>
        <v>0</v>
      </c>
      <c r="F75" s="48">
        <f>SUMIF(logs!$M:$M,positions!$A75&amp;positions!F$3,logs!$Q:$Q)</f>
        <v>0</v>
      </c>
      <c r="G75" s="48">
        <f>SUMIF(logs!$M:$M,positions!$A75&amp;positions!G$3,logs!$Q:$Q)</f>
        <v>0</v>
      </c>
      <c r="H75" s="48">
        <f>SUMIF(logs!$M:$M,positions!$A75&amp;positions!H$3,logs!$Q:$Q)</f>
        <v>0</v>
      </c>
      <c r="I75" s="48">
        <f>SUMIF(logs!$M:$M,positions!$A75&amp;positions!I$3,logs!$Q:$Q)</f>
        <v>0</v>
      </c>
      <c r="J75" s="48">
        <f>SUMIF(logs!$M:$M,positions!$A75&amp;positions!J$3,logs!$Q:$Q)</f>
        <v>0</v>
      </c>
      <c r="K75" s="48">
        <f>SUMIF(logs!$M:$M,positions!$A75&amp;positions!K$3,logs!$Q:$Q)</f>
        <v>0</v>
      </c>
      <c r="L75" s="48">
        <f>SUMIF(logs!$M:$M,positions!$A75&amp;positions!L$3,logs!$Q:$Q)</f>
        <v>0</v>
      </c>
      <c r="M75" s="48">
        <f>SUMIF(logs!$M:$M,positions!$A75&amp;positions!M$3,logs!$Q:$Q)</f>
        <v>0</v>
      </c>
      <c r="N75" s="48">
        <f>SUMIF(logs!$M:$M,positions!$A75&amp;positions!N$3,logs!$Q:$Q)</f>
        <v>0</v>
      </c>
      <c r="O75" s="49">
        <f t="shared" si="16"/>
        <v>0</v>
      </c>
    </row>
    <row r="76" spans="1:15" x14ac:dyDescent="0.35">
      <c r="A76" s="44" t="s">
        <v>30</v>
      </c>
      <c r="B76" s="48">
        <f>SUMIF(logs!$M:$M,positions!$A76&amp;positions!B$3,logs!$Q:$Q)</f>
        <v>0</v>
      </c>
      <c r="C76" s="48">
        <f>SUMIF(logs!$M:$M,positions!$A76&amp;positions!C$3,logs!$Q:$Q)</f>
        <v>0</v>
      </c>
      <c r="D76" s="48">
        <f>SUMIF(logs!$M:$M,positions!$A76&amp;positions!D$3,logs!$Q:$Q)</f>
        <v>0</v>
      </c>
      <c r="E76" s="48">
        <f>SUMIF(logs!$M:$M,positions!$A76&amp;positions!E$3,logs!$Q:$Q)</f>
        <v>0</v>
      </c>
      <c r="F76" s="48">
        <f>SUMIF(logs!$M:$M,positions!$A76&amp;positions!F$3,logs!$Q:$Q)</f>
        <v>1757500.0000000002</v>
      </c>
      <c r="G76" s="48">
        <f>SUMIF(logs!$M:$M,positions!$A76&amp;positions!G$3,logs!$Q:$Q)</f>
        <v>0</v>
      </c>
      <c r="H76" s="48">
        <f>SUMIF(logs!$M:$M,positions!$A76&amp;positions!H$3,logs!$Q:$Q)</f>
        <v>0</v>
      </c>
      <c r="I76" s="48">
        <f>SUMIF(logs!$M:$M,positions!$A76&amp;positions!I$3,logs!$Q:$Q)</f>
        <v>0</v>
      </c>
      <c r="J76" s="48">
        <f>SUMIF(logs!$M:$M,positions!$A76&amp;positions!J$3,logs!$Q:$Q)</f>
        <v>2670500</v>
      </c>
      <c r="K76" s="48">
        <f>SUMIF(logs!$M:$M,positions!$A76&amp;positions!K$3,logs!$Q:$Q)</f>
        <v>0</v>
      </c>
      <c r="L76" s="48">
        <f>SUMIF(logs!$M:$M,positions!$A76&amp;positions!L$3,logs!$Q:$Q)</f>
        <v>0</v>
      </c>
      <c r="M76" s="48">
        <f>SUMIF(logs!$M:$M,positions!$A76&amp;positions!M$3,logs!$Q:$Q)</f>
        <v>0</v>
      </c>
      <c r="N76" s="48">
        <f>SUMIF(logs!$M:$M,positions!$A76&amp;positions!N$3,logs!$Q:$Q)</f>
        <v>0</v>
      </c>
      <c r="O76" s="49">
        <f t="shared" si="16"/>
        <v>4428000</v>
      </c>
    </row>
    <row r="77" spans="1:15" x14ac:dyDescent="0.35">
      <c r="A77" s="44" t="s">
        <v>33</v>
      </c>
      <c r="B77" s="48">
        <f>SUMIF(logs!$M:$M,positions!$A77&amp;positions!B$3,logs!$Q:$Q)</f>
        <v>1320000</v>
      </c>
      <c r="C77" s="48">
        <f>SUMIF(logs!$M:$M,positions!$A77&amp;positions!C$3,logs!$Q:$Q)</f>
        <v>0</v>
      </c>
      <c r="D77" s="48">
        <f>SUMIF(logs!$M:$M,positions!$A77&amp;positions!D$3,logs!$Q:$Q)</f>
        <v>1335000</v>
      </c>
      <c r="E77" s="48">
        <f>SUMIF(logs!$M:$M,positions!$A77&amp;positions!E$3,logs!$Q:$Q)</f>
        <v>0</v>
      </c>
      <c r="F77" s="48">
        <f>SUMIF(logs!$M:$M,positions!$A77&amp;positions!F$3,logs!$Q:$Q)</f>
        <v>0</v>
      </c>
      <c r="G77" s="48">
        <f>SUMIF(logs!$M:$M,positions!$A77&amp;positions!G$3,logs!$Q:$Q)</f>
        <v>0</v>
      </c>
      <c r="H77" s="48">
        <f>SUMIF(logs!$M:$M,positions!$A77&amp;positions!H$3,logs!$Q:$Q)</f>
        <v>0</v>
      </c>
      <c r="I77" s="48">
        <f>SUMIF(logs!$M:$M,positions!$A77&amp;positions!I$3,logs!$Q:$Q)</f>
        <v>0</v>
      </c>
      <c r="J77" s="48">
        <f>SUMIF(logs!$M:$M,positions!$A77&amp;positions!J$3,logs!$Q:$Q)</f>
        <v>0</v>
      </c>
      <c r="K77" s="48">
        <f>SUMIF(logs!$M:$M,positions!$A77&amp;positions!K$3,logs!$Q:$Q)</f>
        <v>0</v>
      </c>
      <c r="L77" s="48">
        <f>SUMIF(logs!$M:$M,positions!$A77&amp;positions!L$3,logs!$Q:$Q)</f>
        <v>0</v>
      </c>
      <c r="M77" s="48">
        <f>SUMIF(logs!$M:$M,positions!$A77&amp;positions!M$3,logs!$Q:$Q)</f>
        <v>0</v>
      </c>
      <c r="N77" s="48">
        <f>SUMIF(logs!$M:$M,positions!$A77&amp;positions!N$3,logs!$Q:$Q)</f>
        <v>0</v>
      </c>
      <c r="O77" s="49">
        <f t="shared" si="16"/>
        <v>2655000</v>
      </c>
    </row>
    <row r="78" spans="1:15" x14ac:dyDescent="0.35">
      <c r="A78" s="44" t="s">
        <v>36</v>
      </c>
      <c r="B78" s="48">
        <f>SUMIF(logs!$M:$M,positions!$A78&amp;positions!B$3,logs!$Q:$Q)</f>
        <v>0</v>
      </c>
      <c r="C78" s="48">
        <f>SUMIF(logs!$M:$M,positions!$A78&amp;positions!C$3,logs!$Q:$Q)</f>
        <v>0</v>
      </c>
      <c r="D78" s="48">
        <f>SUMIF(logs!$M:$M,positions!$A78&amp;positions!D$3,logs!$Q:$Q)</f>
        <v>0</v>
      </c>
      <c r="E78" s="48">
        <f>SUMIF(logs!$M:$M,positions!$A78&amp;positions!E$3,logs!$Q:$Q)</f>
        <v>0</v>
      </c>
      <c r="F78" s="48">
        <f>SUMIF(logs!$M:$M,positions!$A78&amp;positions!F$3,logs!$Q:$Q)</f>
        <v>0</v>
      </c>
      <c r="G78" s="48">
        <f>SUMIF(logs!$M:$M,positions!$A78&amp;positions!G$3,logs!$Q:$Q)</f>
        <v>0</v>
      </c>
      <c r="H78" s="48">
        <f>SUMIF(logs!$M:$M,positions!$A78&amp;positions!H$3,logs!$Q:$Q)</f>
        <v>0</v>
      </c>
      <c r="I78" s="48">
        <f>SUMIF(logs!$M:$M,positions!$A78&amp;positions!I$3,logs!$Q:$Q)</f>
        <v>0</v>
      </c>
      <c r="J78" s="48">
        <f>SUMIF(logs!$M:$M,positions!$A78&amp;positions!J$3,logs!$Q:$Q)</f>
        <v>0</v>
      </c>
      <c r="K78" s="48">
        <f>SUMIF(logs!$M:$M,positions!$A78&amp;positions!K$3,logs!$Q:$Q)</f>
        <v>0</v>
      </c>
      <c r="L78" s="48">
        <f>SUMIF(logs!$M:$M,positions!$A78&amp;positions!L$3,logs!$Q:$Q)</f>
        <v>0</v>
      </c>
      <c r="M78" s="48">
        <f>SUMIF(logs!$M:$M,positions!$A78&amp;positions!M$3,logs!$Q:$Q)</f>
        <v>0</v>
      </c>
      <c r="N78" s="48">
        <f>SUMIF(logs!$M:$M,positions!$A78&amp;positions!N$3,logs!$Q:$Q)</f>
        <v>0</v>
      </c>
      <c r="O78" s="49">
        <f t="shared" si="16"/>
        <v>0</v>
      </c>
    </row>
    <row r="79" spans="1:15" x14ac:dyDescent="0.35">
      <c r="A79" s="45" t="s">
        <v>39</v>
      </c>
      <c r="B79" s="52">
        <f>SUMIF(logs!$M:$M,positions!$A79&amp;positions!B$3,logs!$Q:$Q)</f>
        <v>0</v>
      </c>
      <c r="C79" s="52">
        <f>SUMIF(logs!$M:$M,positions!$A79&amp;positions!C$3,logs!$Q:$Q)</f>
        <v>0</v>
      </c>
      <c r="D79" s="52">
        <f>SUMIF(logs!$M:$M,positions!$A79&amp;positions!D$3,logs!$Q:$Q)</f>
        <v>0</v>
      </c>
      <c r="E79" s="52">
        <f>SUMIF(logs!$M:$M,positions!$A79&amp;positions!E$3,logs!$Q:$Q)</f>
        <v>0</v>
      </c>
      <c r="F79" s="52">
        <f>SUMIF(logs!$M:$M,positions!$A79&amp;positions!F$3,logs!$Q:$Q)</f>
        <v>437500</v>
      </c>
      <c r="G79" s="52">
        <f>SUMIF(logs!$M:$M,positions!$A79&amp;positions!G$3,logs!$Q:$Q)</f>
        <v>0</v>
      </c>
      <c r="H79" s="52">
        <f>SUMIF(logs!$M:$M,positions!$A79&amp;positions!H$3,logs!$Q:$Q)</f>
        <v>0</v>
      </c>
      <c r="I79" s="52">
        <f>SUMIF(logs!$M:$M,positions!$A79&amp;positions!I$3,logs!$Q:$Q)</f>
        <v>0</v>
      </c>
      <c r="J79" s="52">
        <f>SUMIF(logs!$M:$M,positions!$A79&amp;positions!J$3,logs!$Q:$Q)</f>
        <v>0</v>
      </c>
      <c r="K79" s="52">
        <f>SUMIF(logs!$M:$M,positions!$A79&amp;positions!K$3,logs!$Q:$Q)</f>
        <v>431250</v>
      </c>
      <c r="L79" s="52">
        <f>SUMIF(logs!$M:$M,positions!$A79&amp;positions!L$3,logs!$Q:$Q)</f>
        <v>0</v>
      </c>
      <c r="M79" s="52">
        <f>SUMIF(logs!$M:$M,positions!$A79&amp;positions!M$3,logs!$Q:$Q)</f>
        <v>0</v>
      </c>
      <c r="N79" s="52">
        <f>SUMIF(logs!$M:$M,positions!$A79&amp;positions!N$3,logs!$Q:$Q)</f>
        <v>0</v>
      </c>
      <c r="O79" s="53">
        <f t="shared" si="16"/>
        <v>868750</v>
      </c>
    </row>
    <row r="80" spans="1:15" x14ac:dyDescent="0.35">
      <c r="A80" s="44" t="s">
        <v>63</v>
      </c>
      <c r="B80" s="48">
        <f>SUMIF(logs!$M:$M,positions!$A80&amp;positions!B$3,logs!$Q:$Q)</f>
        <v>0</v>
      </c>
      <c r="C80" s="48">
        <f>SUMIF(logs!$M:$M,positions!$A80&amp;positions!C$3,logs!$Q:$Q)</f>
        <v>0</v>
      </c>
      <c r="D80" s="48">
        <f>SUMIF(logs!$M:$M,positions!$A80&amp;positions!D$3,logs!$Q:$Q)</f>
        <v>0</v>
      </c>
      <c r="E80" s="48">
        <f>SUMIF(logs!$M:$M,positions!$A80&amp;positions!E$3,logs!$Q:$Q)</f>
        <v>1512500</v>
      </c>
      <c r="F80" s="48">
        <f>SUMIF(logs!$M:$M,positions!$A80&amp;positions!F$3,logs!$Q:$Q)</f>
        <v>0</v>
      </c>
      <c r="G80" s="48">
        <f>SUMIF(logs!$M:$M,positions!$A80&amp;positions!G$3,logs!$Q:$Q)</f>
        <v>0</v>
      </c>
      <c r="H80" s="48">
        <f>SUMIF(logs!$M:$M,positions!$A80&amp;positions!H$3,logs!$Q:$Q)</f>
        <v>0</v>
      </c>
      <c r="I80" s="48">
        <f>SUMIF(logs!$M:$M,positions!$A80&amp;positions!I$3,logs!$Q:$Q)</f>
        <v>0</v>
      </c>
      <c r="J80" s="48">
        <f>SUMIF(logs!$M:$M,positions!$A80&amp;positions!J$3,logs!$Q:$Q)</f>
        <v>0</v>
      </c>
      <c r="K80" s="48">
        <f>SUMIF(logs!$M:$M,positions!$A80&amp;positions!K$3,logs!$Q:$Q)</f>
        <v>1492499.9999999998</v>
      </c>
      <c r="L80" s="48">
        <f>SUMIF(logs!$M:$M,positions!$A80&amp;positions!L$3,logs!$Q:$Q)</f>
        <v>0</v>
      </c>
      <c r="M80" s="48">
        <f>SUMIF(logs!$M:$M,positions!$A80&amp;positions!M$3,logs!$Q:$Q)</f>
        <v>0</v>
      </c>
      <c r="N80" s="48">
        <f>SUMIF(logs!$M:$M,positions!$A80&amp;positions!N$3,logs!$Q:$Q)</f>
        <v>0</v>
      </c>
      <c r="O80" s="49">
        <f t="shared" si="16"/>
        <v>3005000</v>
      </c>
    </row>
    <row r="81" spans="1:15" x14ac:dyDescent="0.35">
      <c r="A81" s="44" t="s">
        <v>68</v>
      </c>
      <c r="B81" s="48">
        <f>SUMIF(logs!$M:$M,positions!$A81&amp;positions!B$3,logs!$Q:$Q)</f>
        <v>0</v>
      </c>
      <c r="C81" s="48">
        <f>SUMIF(logs!$M:$M,positions!$A81&amp;positions!C$3,logs!$Q:$Q)</f>
        <v>0</v>
      </c>
      <c r="D81" s="48">
        <f>SUMIF(logs!$M:$M,positions!$A81&amp;positions!D$3,logs!$Q:$Q)</f>
        <v>0</v>
      </c>
      <c r="E81" s="48">
        <f>SUMIF(logs!$M:$M,positions!$A81&amp;positions!E$3,logs!$Q:$Q)</f>
        <v>0</v>
      </c>
      <c r="F81" s="48">
        <f>SUMIF(logs!$M:$M,positions!$A81&amp;positions!F$3,logs!$Q:$Q)</f>
        <v>0</v>
      </c>
      <c r="G81" s="48">
        <f>SUMIF(logs!$M:$M,positions!$A81&amp;positions!G$3,logs!$Q:$Q)</f>
        <v>0</v>
      </c>
      <c r="H81" s="48">
        <f>SUMIF(logs!$M:$M,positions!$A81&amp;positions!H$3,logs!$Q:$Q)</f>
        <v>0</v>
      </c>
      <c r="I81" s="48">
        <f>SUMIF(logs!$M:$M,positions!$A81&amp;positions!I$3,logs!$Q:$Q)</f>
        <v>0</v>
      </c>
      <c r="J81" s="48">
        <f>SUMIF(logs!$M:$M,positions!$A81&amp;positions!J$3,logs!$Q:$Q)</f>
        <v>0</v>
      </c>
      <c r="K81" s="48">
        <f>SUMIF(logs!$M:$M,positions!$A81&amp;positions!K$3,logs!$Q:$Q)</f>
        <v>0</v>
      </c>
      <c r="L81" s="48">
        <f>SUMIF(logs!$M:$M,positions!$A81&amp;positions!L$3,logs!$Q:$Q)</f>
        <v>0</v>
      </c>
      <c r="M81" s="48">
        <f>SUMIF(logs!$M:$M,positions!$A81&amp;positions!M$3,logs!$Q:$Q)</f>
        <v>0</v>
      </c>
      <c r="N81" s="48">
        <f>SUMIF(logs!$M:$M,positions!$A81&amp;positions!N$3,logs!$Q:$Q)</f>
        <v>0</v>
      </c>
      <c r="O81" s="49">
        <f t="shared" si="16"/>
        <v>0</v>
      </c>
    </row>
    <row r="82" spans="1:15" x14ac:dyDescent="0.35">
      <c r="A82" s="44" t="s">
        <v>72</v>
      </c>
      <c r="B82" s="48">
        <f>SUMIF(logs!$M:$M,positions!$A82&amp;positions!B$3,logs!$Q:$Q)</f>
        <v>0</v>
      </c>
      <c r="C82" s="48">
        <f>SUMIF(logs!$M:$M,positions!$A82&amp;positions!C$3,logs!$Q:$Q)</f>
        <v>0</v>
      </c>
      <c r="D82" s="48">
        <f>SUMIF(logs!$M:$M,positions!$A82&amp;positions!D$3,logs!$Q:$Q)</f>
        <v>0</v>
      </c>
      <c r="E82" s="48">
        <f>SUMIF(logs!$M:$M,positions!$A82&amp;positions!E$3,logs!$Q:$Q)</f>
        <v>2668500</v>
      </c>
      <c r="F82" s="48">
        <f>SUMIF(logs!$M:$M,positions!$A82&amp;positions!F$3,logs!$Q:$Q)</f>
        <v>0</v>
      </c>
      <c r="G82" s="48">
        <f>SUMIF(logs!$M:$M,positions!$A82&amp;positions!G$3,logs!$Q:$Q)</f>
        <v>0</v>
      </c>
      <c r="H82" s="48">
        <f>SUMIF(logs!$M:$M,positions!$A82&amp;positions!H$3,logs!$Q:$Q)</f>
        <v>0</v>
      </c>
      <c r="I82" s="48">
        <f>SUMIF(logs!$M:$M,positions!$A82&amp;positions!I$3,logs!$Q:$Q)</f>
        <v>0</v>
      </c>
      <c r="J82" s="48">
        <f>SUMIF(logs!$M:$M,positions!$A82&amp;positions!J$3,logs!$Q:$Q)</f>
        <v>0</v>
      </c>
      <c r="K82" s="48">
        <f>SUMIF(logs!$M:$M,positions!$A82&amp;positions!K$3,logs!$Q:$Q)</f>
        <v>2677000</v>
      </c>
      <c r="L82" s="48">
        <f>SUMIF(logs!$M:$M,positions!$A82&amp;positions!L$3,logs!$Q:$Q)</f>
        <v>0</v>
      </c>
      <c r="M82" s="48">
        <f>SUMIF(logs!$M:$M,positions!$A82&amp;positions!M$3,logs!$Q:$Q)</f>
        <v>0</v>
      </c>
      <c r="N82" s="48">
        <f>SUMIF(logs!$M:$M,positions!$A82&amp;positions!N$3,logs!$Q:$Q)</f>
        <v>0</v>
      </c>
      <c r="O82" s="49">
        <f t="shared" si="16"/>
        <v>5345500</v>
      </c>
    </row>
    <row r="83" spans="1:15" x14ac:dyDescent="0.35">
      <c r="A83" s="44" t="s">
        <v>75</v>
      </c>
      <c r="B83" s="48">
        <f>SUMIF(logs!$M:$M,positions!$A83&amp;positions!B$3,logs!$Q:$Q)</f>
        <v>0</v>
      </c>
      <c r="C83" s="48">
        <f>SUMIF(logs!$M:$M,positions!$A83&amp;positions!C$3,logs!$Q:$Q)</f>
        <v>0</v>
      </c>
      <c r="D83" s="48">
        <f>SUMIF(logs!$M:$M,positions!$A83&amp;positions!D$3,logs!$Q:$Q)</f>
        <v>0</v>
      </c>
      <c r="E83" s="48">
        <f>SUMIF(logs!$M:$M,positions!$A83&amp;positions!E$3,logs!$Q:$Q)</f>
        <v>0</v>
      </c>
      <c r="F83" s="48">
        <f>SUMIF(logs!$M:$M,positions!$A83&amp;positions!F$3,logs!$Q:$Q)</f>
        <v>0</v>
      </c>
      <c r="G83" s="48">
        <f>SUMIF(logs!$M:$M,positions!$A83&amp;positions!G$3,logs!$Q:$Q)</f>
        <v>0</v>
      </c>
      <c r="H83" s="48">
        <f>SUMIF(logs!$M:$M,positions!$A83&amp;positions!H$3,logs!$Q:$Q)</f>
        <v>0</v>
      </c>
      <c r="I83" s="48">
        <f>SUMIF(logs!$M:$M,positions!$A83&amp;positions!I$3,logs!$Q:$Q)</f>
        <v>0</v>
      </c>
      <c r="J83" s="48">
        <f>SUMIF(logs!$M:$M,positions!$A83&amp;positions!J$3,logs!$Q:$Q)</f>
        <v>0</v>
      </c>
      <c r="K83" s="48">
        <f>SUMIF(logs!$M:$M,positions!$A83&amp;positions!K$3,logs!$Q:$Q)</f>
        <v>0</v>
      </c>
      <c r="L83" s="48">
        <f>SUMIF(logs!$M:$M,positions!$A83&amp;positions!L$3,logs!$Q:$Q)</f>
        <v>0</v>
      </c>
      <c r="M83" s="48">
        <f>SUMIF(logs!$M:$M,positions!$A83&amp;positions!M$3,logs!$Q:$Q)</f>
        <v>0</v>
      </c>
      <c r="N83" s="48">
        <f>SUMIF(logs!$M:$M,positions!$A83&amp;positions!N$3,logs!$Q:$Q)</f>
        <v>0</v>
      </c>
      <c r="O83" s="49">
        <f t="shared" si="16"/>
        <v>0</v>
      </c>
    </row>
    <row r="84" spans="1:15" x14ac:dyDescent="0.35">
      <c r="A84" s="45" t="s">
        <v>78</v>
      </c>
      <c r="B84" s="52">
        <f>SUMIF(logs!$M:$M,positions!$A84&amp;positions!B$3,logs!$Q:$Q)</f>
        <v>0</v>
      </c>
      <c r="C84" s="52">
        <f>SUMIF(logs!$M:$M,positions!$A84&amp;positions!C$3,logs!$Q:$Q)</f>
        <v>0</v>
      </c>
      <c r="D84" s="52">
        <f>SUMIF(logs!$M:$M,positions!$A84&amp;positions!D$3,logs!$Q:$Q)</f>
        <v>0</v>
      </c>
      <c r="E84" s="52">
        <f>SUMIF(logs!$M:$M,positions!$A84&amp;positions!E$3,logs!$Q:$Q)</f>
        <v>0</v>
      </c>
      <c r="F84" s="52">
        <f>SUMIF(logs!$M:$M,positions!$A84&amp;positions!F$3,logs!$Q:$Q)</f>
        <v>0</v>
      </c>
      <c r="G84" s="52">
        <f>SUMIF(logs!$M:$M,positions!$A84&amp;positions!G$3,logs!$Q:$Q)</f>
        <v>0</v>
      </c>
      <c r="H84" s="52">
        <f>SUMIF(logs!$M:$M,positions!$A84&amp;positions!H$3,logs!$Q:$Q)</f>
        <v>0</v>
      </c>
      <c r="I84" s="52">
        <f>SUMIF(logs!$M:$M,positions!$A84&amp;positions!I$3,logs!$Q:$Q)</f>
        <v>0</v>
      </c>
      <c r="J84" s="52">
        <f>SUMIF(logs!$M:$M,positions!$A84&amp;positions!J$3,logs!$Q:$Q)</f>
        <v>0</v>
      </c>
      <c r="K84" s="52">
        <f>SUMIF(logs!$M:$M,positions!$A84&amp;positions!K$3,logs!$Q:$Q)</f>
        <v>0</v>
      </c>
      <c r="L84" s="52">
        <f>SUMIF(logs!$M:$M,positions!$A84&amp;positions!L$3,logs!$Q:$Q)</f>
        <v>0</v>
      </c>
      <c r="M84" s="52">
        <f>SUMIF(logs!$M:$M,positions!$A84&amp;positions!M$3,logs!$Q:$Q)</f>
        <v>0</v>
      </c>
      <c r="N84" s="52">
        <f>SUMIF(logs!$M:$M,positions!$A84&amp;positions!N$3,logs!$Q:$Q)</f>
        <v>0</v>
      </c>
      <c r="O84" s="53">
        <f t="shared" si="16"/>
        <v>0</v>
      </c>
    </row>
    <row r="85" spans="1:15" x14ac:dyDescent="0.35">
      <c r="A85" s="44" t="s">
        <v>93</v>
      </c>
      <c r="B85" s="48">
        <f>SUMIF(logs!$M:$M,positions!$A85&amp;positions!B$3,logs!$Q:$Q)</f>
        <v>0</v>
      </c>
      <c r="C85" s="48">
        <f>SUMIF(logs!$M:$M,positions!$A85&amp;positions!C$3,logs!$Q:$Q)</f>
        <v>0</v>
      </c>
      <c r="D85" s="48">
        <f>SUMIF(logs!$M:$M,positions!$A85&amp;positions!D$3,logs!$Q:$Q)</f>
        <v>0</v>
      </c>
      <c r="E85" s="48">
        <f>SUMIF(logs!$M:$M,positions!$A85&amp;positions!E$3,logs!$Q:$Q)</f>
        <v>0</v>
      </c>
      <c r="F85" s="48">
        <f>SUMIF(logs!$M:$M,positions!$A85&amp;positions!F$3,logs!$Q:$Q)</f>
        <v>0</v>
      </c>
      <c r="G85" s="48">
        <f>SUMIF(logs!$M:$M,positions!$A85&amp;positions!G$3,logs!$Q:$Q)</f>
        <v>0</v>
      </c>
      <c r="H85" s="48">
        <f>SUMIF(logs!$M:$M,positions!$A85&amp;positions!H$3,logs!$Q:$Q)</f>
        <v>0</v>
      </c>
      <c r="I85" s="48">
        <f>SUMIF(logs!$M:$M,positions!$A85&amp;positions!I$3,logs!$Q:$Q)</f>
        <v>0</v>
      </c>
      <c r="J85" s="48">
        <f>SUMIF(logs!$M:$M,positions!$A85&amp;positions!J$3,logs!$Q:$Q)</f>
        <v>0</v>
      </c>
      <c r="K85" s="48">
        <f>SUMIF(logs!$M:$M,positions!$A85&amp;positions!K$3,logs!$Q:$Q)</f>
        <v>0</v>
      </c>
      <c r="L85" s="48">
        <f>SUMIF(logs!$M:$M,positions!$A85&amp;positions!L$3,logs!$Q:$Q)</f>
        <v>0</v>
      </c>
      <c r="M85" s="48">
        <f>SUMIF(logs!$M:$M,positions!$A85&amp;positions!M$3,logs!$Q:$Q)</f>
        <v>0</v>
      </c>
      <c r="N85" s="48">
        <f>SUMIF(logs!$M:$M,positions!$A85&amp;positions!N$3,logs!$Q:$Q)</f>
        <v>0</v>
      </c>
      <c r="O85" s="49">
        <f t="shared" si="16"/>
        <v>0</v>
      </c>
    </row>
    <row r="86" spans="1:15" x14ac:dyDescent="0.35">
      <c r="A86" s="44" t="s">
        <v>97</v>
      </c>
      <c r="B86" s="48">
        <f>SUMIF(logs!$M:$M,positions!$A86&amp;positions!B$3,logs!$Q:$Q)</f>
        <v>0</v>
      </c>
      <c r="C86" s="48">
        <f>SUMIF(logs!$M:$M,positions!$A86&amp;positions!C$3,logs!$Q:$Q)</f>
        <v>0</v>
      </c>
      <c r="D86" s="48">
        <f>SUMIF(logs!$M:$M,positions!$A86&amp;positions!D$3,logs!$Q:$Q)</f>
        <v>1201760</v>
      </c>
      <c r="E86" s="48">
        <f>SUMIF(logs!$M:$M,positions!$A86&amp;positions!E$3,logs!$Q:$Q)</f>
        <v>0</v>
      </c>
      <c r="F86" s="48">
        <f>SUMIF(logs!$M:$M,positions!$A86&amp;positions!F$3,logs!$Q:$Q)</f>
        <v>0</v>
      </c>
      <c r="G86" s="48">
        <f>SUMIF(logs!$M:$M,positions!$A86&amp;positions!G$3,logs!$Q:$Q)</f>
        <v>0</v>
      </c>
      <c r="H86" s="48">
        <f>SUMIF(logs!$M:$M,positions!$A86&amp;positions!H$3,logs!$Q:$Q)</f>
        <v>0</v>
      </c>
      <c r="I86" s="48">
        <f>SUMIF(logs!$M:$M,positions!$A86&amp;positions!I$3,logs!$Q:$Q)</f>
        <v>1458576.0000000002</v>
      </c>
      <c r="J86" s="48">
        <f>SUMIF(logs!$M:$M,positions!$A86&amp;positions!J$3,logs!$Q:$Q)</f>
        <v>0</v>
      </c>
      <c r="K86" s="48">
        <f>SUMIF(logs!$M:$M,positions!$A86&amp;positions!K$3,logs!$Q:$Q)</f>
        <v>0</v>
      </c>
      <c r="L86" s="48">
        <f>SUMIF(logs!$M:$M,positions!$A86&amp;positions!L$3,logs!$Q:$Q)</f>
        <v>0</v>
      </c>
      <c r="M86" s="48">
        <f>SUMIF(logs!$M:$M,positions!$A86&amp;positions!M$3,logs!$Q:$Q)</f>
        <v>0</v>
      </c>
      <c r="N86" s="48">
        <f>SUMIF(logs!$M:$M,positions!$A86&amp;positions!N$3,logs!$Q:$Q)</f>
        <v>0</v>
      </c>
      <c r="O86" s="49">
        <f t="shared" si="16"/>
        <v>2660336</v>
      </c>
    </row>
    <row r="87" spans="1:15" x14ac:dyDescent="0.35">
      <c r="A87" s="44" t="s">
        <v>160</v>
      </c>
      <c r="B87" s="48">
        <f>SUMIF(logs!$M:$M,positions!$A87&amp;positions!B$3,logs!$Q:$Q)</f>
        <v>0</v>
      </c>
      <c r="C87" s="48">
        <f>SUMIF(logs!$M:$M,positions!$A87&amp;positions!C$3,logs!$Q:$Q)</f>
        <v>0</v>
      </c>
      <c r="D87" s="48">
        <f>SUMIF(logs!$M:$M,positions!$A87&amp;positions!D$3,logs!$Q:$Q)</f>
        <v>0</v>
      </c>
      <c r="E87" s="48">
        <f>SUMIF(logs!$M:$M,positions!$A87&amp;positions!E$3,logs!$Q:$Q)</f>
        <v>0</v>
      </c>
      <c r="F87" s="48">
        <f>SUMIF(logs!$M:$M,positions!$A87&amp;positions!F$3,logs!$Q:$Q)</f>
        <v>0</v>
      </c>
      <c r="G87" s="48">
        <f>SUMIF(logs!$M:$M,positions!$A87&amp;positions!G$3,logs!$Q:$Q)</f>
        <v>0</v>
      </c>
      <c r="H87" s="48">
        <f>SUMIF(logs!$M:$M,positions!$A87&amp;positions!H$3,logs!$Q:$Q)</f>
        <v>0</v>
      </c>
      <c r="I87" s="48">
        <f>SUMIF(logs!$M:$M,positions!$A87&amp;positions!I$3,logs!$Q:$Q)</f>
        <v>0</v>
      </c>
      <c r="J87" s="48">
        <f>SUMIF(logs!$M:$M,positions!$A87&amp;positions!J$3,logs!$Q:$Q)</f>
        <v>0</v>
      </c>
      <c r="K87" s="48">
        <f>SUMIF(logs!$M:$M,positions!$A87&amp;positions!K$3,logs!$Q:$Q)</f>
        <v>0</v>
      </c>
      <c r="L87" s="48">
        <f>SUMIF(logs!$M:$M,positions!$A87&amp;positions!L$3,logs!$Q:$Q)</f>
        <v>0</v>
      </c>
      <c r="M87" s="48">
        <f>SUMIF(logs!$M:$M,positions!$A87&amp;positions!M$3,logs!$Q:$Q)</f>
        <v>0</v>
      </c>
      <c r="N87" s="48">
        <f>SUMIF(logs!$M:$M,positions!$A87&amp;positions!N$3,logs!$Q:$Q)</f>
        <v>0</v>
      </c>
      <c r="O87" s="49">
        <f t="shared" si="16"/>
        <v>0</v>
      </c>
    </row>
    <row r="88" spans="1:15" x14ac:dyDescent="0.35">
      <c r="A88" s="45" t="s">
        <v>103</v>
      </c>
      <c r="B88" s="52">
        <f>SUMIF(logs!$M:$M,positions!$A88&amp;positions!B$3,logs!$Q:$Q)</f>
        <v>0</v>
      </c>
      <c r="C88" s="52">
        <f>SUMIF(logs!$M:$M,positions!$A88&amp;positions!C$3,logs!$Q:$Q)</f>
        <v>0</v>
      </c>
      <c r="D88" s="52">
        <f>SUMIF(logs!$M:$M,positions!$A88&amp;positions!D$3,logs!$Q:$Q)</f>
        <v>0</v>
      </c>
      <c r="E88" s="52">
        <f>SUMIF(logs!$M:$M,positions!$A88&amp;positions!E$3,logs!$Q:$Q)</f>
        <v>0</v>
      </c>
      <c r="F88" s="52">
        <f>SUMIF(logs!$M:$M,positions!$A88&amp;positions!F$3,logs!$Q:$Q)</f>
        <v>0</v>
      </c>
      <c r="G88" s="52">
        <f>SUMIF(logs!$M:$M,positions!$A88&amp;positions!G$3,logs!$Q:$Q)</f>
        <v>0</v>
      </c>
      <c r="H88" s="52">
        <f>SUMIF(logs!$M:$M,positions!$A88&amp;positions!H$3,logs!$Q:$Q)</f>
        <v>0</v>
      </c>
      <c r="I88" s="52">
        <f>SUMIF(logs!$M:$M,positions!$A88&amp;positions!I$3,logs!$Q:$Q)</f>
        <v>0</v>
      </c>
      <c r="J88" s="52">
        <f>SUMIF(logs!$M:$M,positions!$A88&amp;positions!J$3,logs!$Q:$Q)</f>
        <v>0</v>
      </c>
      <c r="K88" s="52">
        <f>SUMIF(logs!$M:$M,positions!$A88&amp;positions!K$3,logs!$Q:$Q)</f>
        <v>0</v>
      </c>
      <c r="L88" s="52">
        <f>SUMIF(logs!$M:$M,positions!$A88&amp;positions!L$3,logs!$Q:$Q)</f>
        <v>0</v>
      </c>
      <c r="M88" s="52">
        <f>SUMIF(logs!$M:$M,positions!$A88&amp;positions!M$3,logs!$Q:$Q)</f>
        <v>0</v>
      </c>
      <c r="N88" s="52">
        <f>SUMIF(logs!$M:$M,positions!$A88&amp;positions!N$3,logs!$Q:$Q)</f>
        <v>0</v>
      </c>
      <c r="O88" s="53">
        <f t="shared" si="16"/>
        <v>0</v>
      </c>
    </row>
    <row r="89" spans="1:15" x14ac:dyDescent="0.35">
      <c r="A89" s="44" t="s">
        <v>107</v>
      </c>
      <c r="B89" s="48">
        <f>SUMIF(logs!$M:$M,positions!$A89&amp;positions!B$3,logs!$Q:$Q)</f>
        <v>0</v>
      </c>
      <c r="C89" s="48">
        <f>SUMIF(logs!$M:$M,positions!$A89&amp;positions!C$3,logs!$Q:$Q)</f>
        <v>1680000</v>
      </c>
      <c r="D89" s="48">
        <f>SUMIF(logs!$M:$M,positions!$A89&amp;positions!D$3,logs!$Q:$Q)</f>
        <v>0</v>
      </c>
      <c r="E89" s="48">
        <f>SUMIF(logs!$M:$M,positions!$A89&amp;positions!E$3,logs!$Q:$Q)</f>
        <v>12680000</v>
      </c>
      <c r="F89" s="48">
        <f>SUMIF(logs!$M:$M,positions!$A89&amp;positions!F$3,logs!$Q:$Q)</f>
        <v>0</v>
      </c>
      <c r="G89" s="48">
        <f>SUMIF(logs!$M:$M,positions!$A89&amp;positions!G$3,logs!$Q:$Q)</f>
        <v>0</v>
      </c>
      <c r="H89" s="48">
        <f>SUMIF(logs!$M:$M,positions!$A89&amp;positions!H$3,logs!$Q:$Q)</f>
        <v>0</v>
      </c>
      <c r="I89" s="48">
        <f>SUMIF(logs!$M:$M,positions!$A89&amp;positions!I$3,logs!$Q:$Q)</f>
        <v>0</v>
      </c>
      <c r="J89" s="48">
        <f>SUMIF(logs!$M:$M,positions!$A89&amp;positions!J$3,logs!$Q:$Q)</f>
        <v>0</v>
      </c>
      <c r="K89" s="48">
        <f>SUMIF(logs!$M:$M,positions!$A89&amp;positions!K$3,logs!$Q:$Q)</f>
        <v>4650000</v>
      </c>
      <c r="L89" s="48">
        <f>SUMIF(logs!$M:$M,positions!$A89&amp;positions!L$3,logs!$Q:$Q)</f>
        <v>0</v>
      </c>
      <c r="M89" s="48">
        <f>SUMIF(logs!$M:$M,positions!$A89&amp;positions!M$3,logs!$Q:$Q)</f>
        <v>0</v>
      </c>
      <c r="N89" s="48">
        <f>SUMIF(logs!$M:$M,positions!$A89&amp;positions!N$3,logs!$Q:$Q)</f>
        <v>0</v>
      </c>
      <c r="O89" s="49">
        <f t="shared" si="16"/>
        <v>19010000</v>
      </c>
    </row>
    <row r="90" spans="1:15" x14ac:dyDescent="0.35">
      <c r="A90" s="44" t="s">
        <v>111</v>
      </c>
      <c r="B90" s="48">
        <f>SUMIF(logs!$M:$M,positions!$A90&amp;positions!B$3,logs!$Q:$Q)</f>
        <v>0</v>
      </c>
      <c r="C90" s="48">
        <f>SUMIF(logs!$M:$M,positions!$A90&amp;positions!C$3,logs!$Q:$Q)</f>
        <v>910000</v>
      </c>
      <c r="D90" s="48">
        <f>SUMIF(logs!$M:$M,positions!$A90&amp;positions!D$3,logs!$Q:$Q)</f>
        <v>0</v>
      </c>
      <c r="E90" s="48">
        <f>SUMIF(logs!$M:$M,positions!$A90&amp;positions!E$3,logs!$Q:$Q)</f>
        <v>3660000</v>
      </c>
      <c r="F90" s="48">
        <f>SUMIF(logs!$M:$M,positions!$A90&amp;positions!F$3,logs!$Q:$Q)</f>
        <v>0</v>
      </c>
      <c r="G90" s="48">
        <f>SUMIF(logs!$M:$M,positions!$A90&amp;positions!G$3,logs!$Q:$Q)</f>
        <v>0</v>
      </c>
      <c r="H90" s="48">
        <f>SUMIF(logs!$M:$M,positions!$A90&amp;positions!H$3,logs!$Q:$Q)</f>
        <v>0</v>
      </c>
      <c r="I90" s="48">
        <f>SUMIF(logs!$M:$M,positions!$A90&amp;positions!I$3,logs!$Q:$Q)</f>
        <v>0</v>
      </c>
      <c r="J90" s="48">
        <f>SUMIF(logs!$M:$M,positions!$A90&amp;positions!J$3,logs!$Q:$Q)</f>
        <v>0</v>
      </c>
      <c r="K90" s="48">
        <f>SUMIF(logs!$M:$M,positions!$A90&amp;positions!K$3,logs!$Q:$Q)</f>
        <v>0</v>
      </c>
      <c r="L90" s="48">
        <f>SUMIF(logs!$M:$M,positions!$A90&amp;positions!L$3,logs!$Q:$Q)</f>
        <v>0</v>
      </c>
      <c r="M90" s="48">
        <f>SUMIF(logs!$M:$M,positions!$A90&amp;positions!M$3,logs!$Q:$Q)</f>
        <v>0</v>
      </c>
      <c r="N90" s="48">
        <f>SUMIF(logs!$M:$M,positions!$A90&amp;positions!N$3,logs!$Q:$Q)</f>
        <v>0</v>
      </c>
      <c r="O90" s="49">
        <f t="shared" si="16"/>
        <v>4570000</v>
      </c>
    </row>
    <row r="91" spans="1:15" x14ac:dyDescent="0.35">
      <c r="A91" s="44" t="s">
        <v>114</v>
      </c>
      <c r="B91" s="48">
        <f>SUMIF(logs!$M:$M,positions!$A91&amp;positions!B$3,logs!$Q:$Q)</f>
        <v>0</v>
      </c>
      <c r="C91" s="48">
        <f>SUMIF(logs!$M:$M,positions!$A91&amp;positions!C$3,logs!$Q:$Q)</f>
        <v>0</v>
      </c>
      <c r="D91" s="48">
        <f>SUMIF(logs!$M:$M,positions!$A91&amp;positions!D$3,logs!$Q:$Q)</f>
        <v>0</v>
      </c>
      <c r="E91" s="48">
        <f>SUMIF(logs!$M:$M,positions!$A91&amp;positions!E$3,logs!$Q:$Q)</f>
        <v>0</v>
      </c>
      <c r="F91" s="48">
        <f>SUMIF(logs!$M:$M,positions!$A91&amp;positions!F$3,logs!$Q:$Q)</f>
        <v>0</v>
      </c>
      <c r="G91" s="48">
        <f>SUMIF(logs!$M:$M,positions!$A91&amp;positions!G$3,logs!$Q:$Q)</f>
        <v>0</v>
      </c>
      <c r="H91" s="48">
        <f>SUMIF(logs!$M:$M,positions!$A91&amp;positions!H$3,logs!$Q:$Q)</f>
        <v>0</v>
      </c>
      <c r="I91" s="48">
        <f>SUMIF(logs!$M:$M,positions!$A91&amp;positions!I$3,logs!$Q:$Q)</f>
        <v>0</v>
      </c>
      <c r="J91" s="48">
        <f>SUMIF(logs!$M:$M,positions!$A91&amp;positions!J$3,logs!$Q:$Q)</f>
        <v>0</v>
      </c>
      <c r="K91" s="48">
        <f>SUMIF(logs!$M:$M,positions!$A91&amp;positions!K$3,logs!$Q:$Q)</f>
        <v>0</v>
      </c>
      <c r="L91" s="48">
        <f>SUMIF(logs!$M:$M,positions!$A91&amp;positions!L$3,logs!$Q:$Q)</f>
        <v>0</v>
      </c>
      <c r="M91" s="48">
        <f>SUMIF(logs!$M:$M,positions!$A91&amp;positions!M$3,logs!$Q:$Q)</f>
        <v>0</v>
      </c>
      <c r="N91" s="48">
        <f>SUMIF(logs!$M:$M,positions!$A91&amp;positions!N$3,logs!$Q:$Q)</f>
        <v>0</v>
      </c>
      <c r="O91" s="49">
        <f t="shared" si="16"/>
        <v>0</v>
      </c>
    </row>
    <row r="92" spans="1:15" x14ac:dyDescent="0.35">
      <c r="A92" s="44" t="s">
        <v>118</v>
      </c>
      <c r="B92" s="48">
        <f>SUMIF(logs!$M:$M,positions!$A92&amp;positions!B$3,logs!$Q:$Q)</f>
        <v>0</v>
      </c>
      <c r="C92" s="48">
        <f>SUMIF(logs!$M:$M,positions!$A92&amp;positions!C$3,logs!$Q:$Q)</f>
        <v>0</v>
      </c>
      <c r="D92" s="48">
        <f>SUMIF(logs!$M:$M,positions!$A92&amp;positions!D$3,logs!$Q:$Q)</f>
        <v>0</v>
      </c>
      <c r="E92" s="48">
        <f>SUMIF(logs!$M:$M,positions!$A92&amp;positions!E$3,logs!$Q:$Q)</f>
        <v>0</v>
      </c>
      <c r="F92" s="48">
        <f>SUMIF(logs!$M:$M,positions!$A92&amp;positions!F$3,logs!$Q:$Q)</f>
        <v>0</v>
      </c>
      <c r="G92" s="48">
        <f>SUMIF(logs!$M:$M,positions!$A92&amp;positions!G$3,logs!$Q:$Q)</f>
        <v>0</v>
      </c>
      <c r="H92" s="48">
        <f>SUMIF(logs!$M:$M,positions!$A92&amp;positions!H$3,logs!$Q:$Q)</f>
        <v>0</v>
      </c>
      <c r="I92" s="48">
        <f>SUMIF(logs!$M:$M,positions!$A92&amp;positions!I$3,logs!$Q:$Q)</f>
        <v>0</v>
      </c>
      <c r="J92" s="48">
        <f>SUMIF(logs!$M:$M,positions!$A92&amp;positions!J$3,logs!$Q:$Q)</f>
        <v>0</v>
      </c>
      <c r="K92" s="48">
        <f>SUMIF(logs!$M:$M,positions!$A92&amp;positions!K$3,logs!$Q:$Q)</f>
        <v>0</v>
      </c>
      <c r="L92" s="48">
        <f>SUMIF(logs!$M:$M,positions!$A92&amp;positions!L$3,logs!$Q:$Q)</f>
        <v>0</v>
      </c>
      <c r="M92" s="48">
        <f>SUMIF(logs!$M:$M,positions!$A92&amp;positions!M$3,logs!$Q:$Q)</f>
        <v>0</v>
      </c>
      <c r="N92" s="48">
        <f>SUMIF(logs!$M:$M,positions!$A92&amp;positions!N$3,logs!$Q:$Q)</f>
        <v>0</v>
      </c>
      <c r="O92" s="49">
        <f t="shared" si="16"/>
        <v>0</v>
      </c>
    </row>
    <row r="93" spans="1:15" x14ac:dyDescent="0.35">
      <c r="A93" s="47" t="s">
        <v>204</v>
      </c>
      <c r="B93" s="50">
        <f>SUM(B66:B92)</f>
        <v>1320000</v>
      </c>
      <c r="C93" s="50">
        <f t="shared" ref="C93" si="17">SUM(C66:C92)</f>
        <v>2590000</v>
      </c>
      <c r="D93" s="50">
        <f t="shared" ref="D93" si="18">SUM(D66:D92)</f>
        <v>8096093.1583210211</v>
      </c>
      <c r="E93" s="50">
        <f t="shared" ref="E93" si="19">SUM(E66:E92)</f>
        <v>20521000</v>
      </c>
      <c r="F93" s="50">
        <f t="shared" ref="F93" si="20">SUM(F66:F92)</f>
        <v>6384465.7694364758</v>
      </c>
      <c r="G93" s="50">
        <f t="shared" ref="G93" si="21">SUM(G66:G92)</f>
        <v>0</v>
      </c>
      <c r="H93" s="50">
        <f t="shared" ref="H93" si="22">SUM(H66:H92)</f>
        <v>4995407.0110804858</v>
      </c>
      <c r="I93" s="50">
        <f t="shared" ref="I93" si="23">SUM(I66:I92)</f>
        <v>1458576.0000000002</v>
      </c>
      <c r="J93" s="50">
        <f t="shared" ref="J93" si="24">SUM(J66:J92)</f>
        <v>2670500</v>
      </c>
      <c r="K93" s="50">
        <f t="shared" ref="K93" si="25">SUM(K66:K92)</f>
        <v>13825530</v>
      </c>
      <c r="L93" s="50">
        <f t="shared" ref="L93" si="26">SUM(L66:L92)</f>
        <v>1407480</v>
      </c>
      <c r="M93" s="50">
        <f t="shared" ref="M93" si="27">SUM(M66:M92)</f>
        <v>0</v>
      </c>
      <c r="N93" s="50">
        <f t="shared" ref="N93" si="28">SUM(N66:N92)</f>
        <v>0</v>
      </c>
      <c r="O93" s="51">
        <f t="shared" ref="O93" si="29">SUM(O66:O92)</f>
        <v>63269051.938837983</v>
      </c>
    </row>
  </sheetData>
  <phoneticPr fontId="1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19875-529B-DA43-9AEA-287D7231DFBB}">
  <sheetPr>
    <tabColor rgb="FF00B0F0"/>
  </sheetPr>
  <dimension ref="A1:AU62"/>
  <sheetViews>
    <sheetView showGridLines="0" topLeftCell="G10" zoomScale="50" zoomScaleNormal="50" workbookViewId="0">
      <selection activeCell="AB30" sqref="AB30"/>
    </sheetView>
  </sheetViews>
  <sheetFormatPr defaultColWidth="10.6640625" defaultRowHeight="15.5" x14ac:dyDescent="0.35"/>
  <cols>
    <col min="1" max="1" width="20.33203125" bestFit="1" customWidth="1"/>
    <col min="2" max="14" width="8.58203125" customWidth="1"/>
    <col min="15" max="15" width="12.6640625" customWidth="1"/>
    <col min="16" max="16" width="3.5" customWidth="1"/>
    <col min="17" max="17" width="15.08203125" bestFit="1" customWidth="1"/>
    <col min="18" max="30" width="8.58203125" customWidth="1"/>
    <col min="31" max="31" width="12.33203125" customWidth="1"/>
    <col min="32" max="32" width="3.6640625" customWidth="1"/>
    <col min="33" max="33" width="15.1640625" customWidth="1"/>
    <col min="34" max="46" width="9.83203125" customWidth="1"/>
    <col min="47" max="47" width="14.1640625" customWidth="1"/>
  </cols>
  <sheetData>
    <row r="1" spans="1:47" ht="19.5" x14ac:dyDescent="0.45">
      <c r="A1" s="42" t="s">
        <v>206</v>
      </c>
    </row>
    <row r="3" spans="1:47" x14ac:dyDescent="0.35">
      <c r="A3" s="111" t="s">
        <v>301</v>
      </c>
      <c r="B3" s="43" t="s">
        <v>21</v>
      </c>
      <c r="C3" s="43" t="s">
        <v>24</v>
      </c>
      <c r="D3" s="43" t="s">
        <v>26</v>
      </c>
      <c r="E3" s="43" t="s">
        <v>29</v>
      </c>
      <c r="F3" s="43" t="s">
        <v>4</v>
      </c>
      <c r="G3" s="43" t="s">
        <v>35</v>
      </c>
      <c r="H3" s="43" t="s">
        <v>38</v>
      </c>
      <c r="I3" s="43" t="s">
        <v>41</v>
      </c>
      <c r="J3" s="43" t="s">
        <v>46</v>
      </c>
      <c r="K3" s="43" t="s">
        <v>6</v>
      </c>
      <c r="L3" s="43" t="s">
        <v>51</v>
      </c>
      <c r="M3" s="43" t="s">
        <v>54</v>
      </c>
      <c r="N3" s="43" t="s">
        <v>57</v>
      </c>
      <c r="O3" s="47" t="s">
        <v>204</v>
      </c>
      <c r="Q3" s="94" t="s">
        <v>278</v>
      </c>
      <c r="R3" s="43" t="s">
        <v>21</v>
      </c>
      <c r="S3" s="43" t="s">
        <v>24</v>
      </c>
      <c r="T3" s="43" t="s">
        <v>26</v>
      </c>
      <c r="U3" s="43" t="s">
        <v>29</v>
      </c>
      <c r="V3" s="43" t="s">
        <v>4</v>
      </c>
      <c r="W3" s="43" t="s">
        <v>35</v>
      </c>
      <c r="X3" s="43" t="s">
        <v>38</v>
      </c>
      <c r="Y3" s="43" t="s">
        <v>41</v>
      </c>
      <c r="Z3" s="43" t="s">
        <v>46</v>
      </c>
      <c r="AA3" s="43" t="s">
        <v>6</v>
      </c>
      <c r="AB3" s="43" t="s">
        <v>51</v>
      </c>
      <c r="AC3" s="43" t="s">
        <v>54</v>
      </c>
      <c r="AD3" s="43" t="s">
        <v>57</v>
      </c>
      <c r="AE3" s="47" t="s">
        <v>204</v>
      </c>
      <c r="AG3" s="94" t="s">
        <v>131</v>
      </c>
      <c r="AH3" s="43" t="s">
        <v>21</v>
      </c>
      <c r="AI3" s="43" t="s">
        <v>24</v>
      </c>
      <c r="AJ3" s="43" t="s">
        <v>26</v>
      </c>
      <c r="AK3" s="43" t="s">
        <v>29</v>
      </c>
      <c r="AL3" s="43" t="s">
        <v>4</v>
      </c>
      <c r="AM3" s="43" t="s">
        <v>35</v>
      </c>
      <c r="AN3" s="43" t="s">
        <v>38</v>
      </c>
      <c r="AO3" s="43" t="s">
        <v>41</v>
      </c>
      <c r="AP3" s="43" t="s">
        <v>46</v>
      </c>
      <c r="AQ3" s="43" t="s">
        <v>6</v>
      </c>
      <c r="AR3" s="43" t="s">
        <v>51</v>
      </c>
      <c r="AS3" s="43" t="s">
        <v>54</v>
      </c>
      <c r="AT3" s="43" t="s">
        <v>57</v>
      </c>
      <c r="AU3" s="47" t="s">
        <v>204</v>
      </c>
    </row>
    <row r="4" spans="1:47" x14ac:dyDescent="0.35">
      <c r="A4" s="44" t="s">
        <v>3</v>
      </c>
      <c r="B4" s="57">
        <f>SUMIF(logs!$M:$M,'p&amp;l'!$A4&amp;'p&amp;l'!B$3,logs!$V:$V)+AH4</f>
        <v>0</v>
      </c>
      <c r="C4" s="57">
        <f>SUMIF(logs!$M:$M,'p&amp;l'!$A4&amp;'p&amp;l'!C$3,logs!$V:$V)+AI4</f>
        <v>0</v>
      </c>
      <c r="D4" s="57">
        <f>SUMIF(logs!$M:$M,'p&amp;l'!$A4&amp;'p&amp;l'!D$3,logs!$V:$V)+AJ4</f>
        <v>0</v>
      </c>
      <c r="E4" s="57">
        <f>SUMIF(logs!$M:$M,'p&amp;l'!$A4&amp;'p&amp;l'!E$3,logs!$V:$V)+AK4</f>
        <v>0</v>
      </c>
      <c r="F4" s="57">
        <f>SUMIF(logs!$M:$M,'p&amp;l'!$A4&amp;'p&amp;l'!F$3,logs!$V:$V)+AL4</f>
        <v>10540.560000000347</v>
      </c>
      <c r="G4" s="57">
        <f>SUMIF(logs!$M:$M,'p&amp;l'!$A4&amp;'p&amp;l'!G$3,logs!$V:$V)+AM4</f>
        <v>0</v>
      </c>
      <c r="H4" s="57">
        <f>SUMIF(logs!$M:$M,'p&amp;l'!$A4&amp;'p&amp;l'!H$3,logs!$V:$V)+AN4</f>
        <v>0</v>
      </c>
      <c r="I4" s="57">
        <f>SUMIF(logs!$M:$M,'p&amp;l'!$A4&amp;'p&amp;l'!I$3,logs!$V:$V)+AO4</f>
        <v>0</v>
      </c>
      <c r="J4" s="57">
        <f>SUMIF(logs!$M:$M,'p&amp;l'!$A4&amp;'p&amp;l'!J$3,logs!$V:$V)+AP4</f>
        <v>0</v>
      </c>
      <c r="K4" s="57">
        <f>SUMIF(logs!$M:$M,'p&amp;l'!$A4&amp;'p&amp;l'!K$3,logs!$V:$V)+AQ4</f>
        <v>42172.79999999985</v>
      </c>
      <c r="L4" s="57">
        <f>SUMIF(logs!$M:$M,'p&amp;l'!$A4&amp;'p&amp;l'!L$3,logs!$V:$V)+AR4</f>
        <v>38126.279999999831</v>
      </c>
      <c r="M4" s="57">
        <f>SUMIF(logs!$M:$M,'p&amp;l'!$A4&amp;'p&amp;l'!M$3,logs!$V:$V)+AS4</f>
        <v>0</v>
      </c>
      <c r="N4" s="57">
        <f>SUMIF(logs!$M:$M,'p&amp;l'!$A4&amp;'p&amp;l'!N$3,logs!$V:$V)+AT4</f>
        <v>0</v>
      </c>
      <c r="O4" s="58">
        <f>SUM(B4:N4)</f>
        <v>90839.640000000029</v>
      </c>
      <c r="Q4" s="44" t="s">
        <v>3</v>
      </c>
      <c r="R4" s="57">
        <f ca="1">SUMIFS(logs!$V:$V,logs!$M:$M,'p&amp;l'!$Q4&amp;'p&amp;l'!R$3,logs!$A:$A,"&gt;"&amp;assumptions!$C$2)</f>
        <v>0</v>
      </c>
      <c r="S4" s="57">
        <f ca="1">SUMIFS(logs!$V:$V,logs!$M:$M,'p&amp;l'!$Q4&amp;'p&amp;l'!S$3,logs!$A:$A,"&gt;"&amp;assumptions!$C$2)</f>
        <v>0</v>
      </c>
      <c r="T4" s="57">
        <f ca="1">SUMIFS(logs!$V:$V,logs!$M:$M,'p&amp;l'!$Q4&amp;'p&amp;l'!T$3,logs!$A:$A,"&gt;"&amp;assumptions!$C$2)</f>
        <v>0</v>
      </c>
      <c r="U4" s="57">
        <f ca="1">SUMIFS(logs!$V:$V,logs!$M:$M,'p&amp;l'!$Q4&amp;'p&amp;l'!U$3,logs!$A:$A,"&gt;"&amp;assumptions!$C$2)</f>
        <v>0</v>
      </c>
      <c r="V4" s="57">
        <f ca="1">SUMIFS(logs!$V:$V,logs!$M:$M,'p&amp;l'!$Q4&amp;'p&amp;l'!V$3,logs!$A:$A,"&gt;"&amp;assumptions!$C$2)</f>
        <v>0</v>
      </c>
      <c r="W4" s="57">
        <f ca="1">SUMIFS(logs!$V:$V,logs!$M:$M,'p&amp;l'!$Q4&amp;'p&amp;l'!W$3,logs!$A:$A,"&gt;"&amp;assumptions!$C$2)</f>
        <v>0</v>
      </c>
      <c r="X4" s="57">
        <f ca="1">SUMIFS(logs!$V:$V,logs!$M:$M,'p&amp;l'!$Q4&amp;'p&amp;l'!X$3,logs!$A:$A,"&gt;"&amp;assumptions!$C$2)</f>
        <v>0</v>
      </c>
      <c r="Y4" s="57">
        <f ca="1">SUMIFS(logs!$V:$V,logs!$M:$M,'p&amp;l'!$Q4&amp;'p&amp;l'!Y$3,logs!$A:$A,"&gt;"&amp;assumptions!$C$2)</f>
        <v>0</v>
      </c>
      <c r="Z4" s="57">
        <f ca="1">SUMIFS(logs!$V:$V,logs!$M:$M,'p&amp;l'!$Q4&amp;'p&amp;l'!Z$3,logs!$A:$A,"&gt;"&amp;assumptions!$C$2)</f>
        <v>0</v>
      </c>
      <c r="AA4" s="57">
        <f ca="1">SUMIFS(logs!$V:$V,logs!$M:$M,'p&amp;l'!$Q4&amp;'p&amp;l'!AA$3,logs!$A:$A,"&gt;"&amp;assumptions!$C$2)</f>
        <v>0</v>
      </c>
      <c r="AB4" s="57">
        <f ca="1">SUMIFS(logs!$V:$V,logs!$M:$M,'p&amp;l'!$Q4&amp;'p&amp;l'!AB$3,logs!$A:$A,"&gt;"&amp;assumptions!$C$2)</f>
        <v>0</v>
      </c>
      <c r="AC4" s="57">
        <f ca="1">SUMIFS(logs!$V:$V,logs!$M:$M,'p&amp;l'!$Q4&amp;'p&amp;l'!AC$3,logs!$A:$A,"&gt;"&amp;assumptions!$C$2)</f>
        <v>0</v>
      </c>
      <c r="AD4" s="57">
        <f ca="1">SUMIFS(logs!$V:$V,logs!$M:$M,'p&amp;l'!$Q4&amp;'p&amp;l'!AD$3,logs!$A:$A,"&gt;"&amp;assumptions!$C$2)</f>
        <v>0</v>
      </c>
      <c r="AE4" s="58">
        <f ca="1">SUM(R4:AD4)</f>
        <v>0</v>
      </c>
      <c r="AG4" s="44" t="s">
        <v>3</v>
      </c>
      <c r="AH4" s="57">
        <f>-SUMIF(logs!$M:$M,'p&amp;l'!$AG4&amp;'p&amp;l'!AH$3,logs!$R:$R)</f>
        <v>0</v>
      </c>
      <c r="AI4" s="57">
        <f>-SUMIF(logs!$M:$M,'p&amp;l'!$AG4&amp;'p&amp;l'!AI$3,logs!$R:$R)</f>
        <v>0</v>
      </c>
      <c r="AJ4" s="57">
        <f>-SUMIF(logs!$M:$M,'p&amp;l'!$AG4&amp;'p&amp;l'!AJ$3,logs!$R:$R)</f>
        <v>0</v>
      </c>
      <c r="AK4" s="57">
        <f>-SUMIF(logs!$M:$M,'p&amp;l'!$AG4&amp;'p&amp;l'!AK$3,logs!$R:$R)</f>
        <v>0</v>
      </c>
      <c r="AL4" s="57">
        <f>-SUMIF(logs!$M:$M,'p&amp;l'!$AG4&amp;'p&amp;l'!AL$3,logs!$R:$R)</f>
        <v>-115.44</v>
      </c>
      <c r="AM4" s="57">
        <f>-SUMIF(logs!$M:$M,'p&amp;l'!$AG4&amp;'p&amp;l'!AM$3,logs!$R:$R)</f>
        <v>0</v>
      </c>
      <c r="AN4" s="57">
        <f>-SUMIF(logs!$M:$M,'p&amp;l'!$AG4&amp;'p&amp;l'!AN$3,logs!$R:$R)</f>
        <v>0</v>
      </c>
      <c r="AO4" s="57">
        <f>-SUMIF(logs!$M:$M,'p&amp;l'!$AG4&amp;'p&amp;l'!AO$3,logs!$R:$R)</f>
        <v>0</v>
      </c>
      <c r="AP4" s="57">
        <f>-SUMIF(logs!$M:$M,'p&amp;l'!$AG4&amp;'p&amp;l'!AP$3,logs!$R:$R)</f>
        <v>0</v>
      </c>
      <c r="AQ4" s="57">
        <f>-SUMIF(logs!$M:$M,'p&amp;l'!$AG4&amp;'p&amp;l'!AQ$3,logs!$R:$R)</f>
        <v>-187.2</v>
      </c>
      <c r="AR4" s="57">
        <f>-SUMIF(logs!$M:$M,'p&amp;l'!$AG4&amp;'p&amp;l'!AR$3,logs!$R:$R)</f>
        <v>-57.72</v>
      </c>
      <c r="AS4" s="57">
        <f>-SUMIF(logs!$M:$M,'p&amp;l'!$AG4&amp;'p&amp;l'!AS$3,logs!$R:$R)</f>
        <v>0</v>
      </c>
      <c r="AT4" s="57">
        <f>-SUMIF(logs!$M:$M,'p&amp;l'!$AG4&amp;'p&amp;l'!AT$3,logs!$R:$R)</f>
        <v>0</v>
      </c>
      <c r="AU4" s="58">
        <f>SUM(AH4:AT4)</f>
        <v>-360.36</v>
      </c>
    </row>
    <row r="5" spans="1:47" x14ac:dyDescent="0.35">
      <c r="A5" s="44" t="s">
        <v>18</v>
      </c>
      <c r="B5" s="57">
        <f>SUMIF(logs!$M:$M,'p&amp;l'!$A5&amp;'p&amp;l'!B$3,logs!$V:$V)+AH5</f>
        <v>0</v>
      </c>
      <c r="C5" s="57">
        <f>SUMIF(logs!$M:$M,'p&amp;l'!$A5&amp;'p&amp;l'!C$3,logs!$V:$V)+AI5</f>
        <v>0</v>
      </c>
      <c r="D5" s="57">
        <f>SUMIF(logs!$M:$M,'p&amp;l'!$A5&amp;'p&amp;l'!D$3,logs!$V:$V)+AJ5</f>
        <v>1811.9317353041026</v>
      </c>
      <c r="E5" s="57">
        <f>SUMIF(logs!$M:$M,'p&amp;l'!$A5&amp;'p&amp;l'!E$3,logs!$V:$V)+AK5</f>
        <v>0</v>
      </c>
      <c r="F5" s="57">
        <f>SUMIF(logs!$M:$M,'p&amp;l'!$A5&amp;'p&amp;l'!F$3,logs!$V:$V)+AL5</f>
        <v>173077.6486604755</v>
      </c>
      <c r="G5" s="57">
        <f>SUMIF(logs!$M:$M,'p&amp;l'!$A5&amp;'p&amp;l'!G$3,logs!$V:$V)+AM5</f>
        <v>0</v>
      </c>
      <c r="H5" s="57">
        <f>SUMIF(logs!$M:$M,'p&amp;l'!$A5&amp;'p&amp;l'!H$3,logs!$V:$V)+AN5</f>
        <v>-162897.45709145698</v>
      </c>
      <c r="I5" s="57">
        <f>SUMIF(logs!$M:$M,'p&amp;l'!$A5&amp;'p&amp;l'!I$3,logs!$V:$V)+AO5</f>
        <v>0</v>
      </c>
      <c r="J5" s="57">
        <f>SUMIF(logs!$M:$M,'p&amp;l'!$A5&amp;'p&amp;l'!J$3,logs!$V:$V)+AP5</f>
        <v>0</v>
      </c>
      <c r="K5" s="57">
        <f>SUMIF(logs!$M:$M,'p&amp;l'!$A5&amp;'p&amp;l'!K$3,logs!$V:$V)+AQ5</f>
        <v>0</v>
      </c>
      <c r="L5" s="57">
        <f>SUMIF(logs!$M:$M,'p&amp;l'!$A5&amp;'p&amp;l'!L$3,logs!$V:$V)+AR5</f>
        <v>0</v>
      </c>
      <c r="M5" s="57">
        <f>SUMIF(logs!$M:$M,'p&amp;l'!$A5&amp;'p&amp;l'!M$3,logs!$V:$V)+AS5</f>
        <v>0</v>
      </c>
      <c r="N5" s="57">
        <f>SUMIF(logs!$M:$M,'p&amp;l'!$A5&amp;'p&amp;l'!N$3,logs!$V:$V)+AT5</f>
        <v>0</v>
      </c>
      <c r="O5" s="58">
        <f t="shared" ref="O5:O30" si="0">SUM(B5:N5)</f>
        <v>11992.123304322624</v>
      </c>
      <c r="Q5" s="44" t="s">
        <v>18</v>
      </c>
      <c r="R5" s="57">
        <f ca="1">SUMIFS(logs!$V:$V,logs!$M:$M,'p&amp;l'!$Q5&amp;'p&amp;l'!R$3,logs!$A:$A,"&gt;"&amp;assumptions!$C$2)</f>
        <v>0</v>
      </c>
      <c r="S5" s="57">
        <f ca="1">SUMIFS(logs!$V:$V,logs!$M:$M,'p&amp;l'!$Q5&amp;'p&amp;l'!S$3,logs!$A:$A,"&gt;"&amp;assumptions!$C$2)</f>
        <v>0</v>
      </c>
      <c r="T5" s="57">
        <f ca="1">SUMIFS(logs!$V:$V,logs!$M:$M,'p&amp;l'!$Q5&amp;'p&amp;l'!T$3,logs!$A:$A,"&gt;"&amp;assumptions!$C$2)</f>
        <v>0</v>
      </c>
      <c r="U5" s="57">
        <f ca="1">SUMIFS(logs!$V:$V,logs!$M:$M,'p&amp;l'!$Q5&amp;'p&amp;l'!U$3,logs!$A:$A,"&gt;"&amp;assumptions!$C$2)</f>
        <v>0</v>
      </c>
      <c r="V5" s="57">
        <f ca="1">SUMIFS(logs!$V:$V,logs!$M:$M,'p&amp;l'!$Q5&amp;'p&amp;l'!V$3,logs!$A:$A,"&gt;"&amp;assumptions!$C$2)</f>
        <v>0</v>
      </c>
      <c r="W5" s="57">
        <f ca="1">SUMIFS(logs!$V:$V,logs!$M:$M,'p&amp;l'!$Q5&amp;'p&amp;l'!W$3,logs!$A:$A,"&gt;"&amp;assumptions!$C$2)</f>
        <v>0</v>
      </c>
      <c r="X5" s="57">
        <f ca="1">SUMIFS(logs!$V:$V,logs!$M:$M,'p&amp;l'!$Q5&amp;'p&amp;l'!X$3,logs!$A:$A,"&gt;"&amp;assumptions!$C$2)</f>
        <v>0</v>
      </c>
      <c r="Y5" s="57">
        <f ca="1">SUMIFS(logs!$V:$V,logs!$M:$M,'p&amp;l'!$Q5&amp;'p&amp;l'!Y$3,logs!$A:$A,"&gt;"&amp;assumptions!$C$2)</f>
        <v>0</v>
      </c>
      <c r="Z5" s="57">
        <f ca="1">SUMIFS(logs!$V:$V,logs!$M:$M,'p&amp;l'!$Q5&amp;'p&amp;l'!Z$3,logs!$A:$A,"&gt;"&amp;assumptions!$C$2)</f>
        <v>0</v>
      </c>
      <c r="AA5" s="57">
        <f ca="1">SUMIFS(logs!$V:$V,logs!$M:$M,'p&amp;l'!$Q5&amp;'p&amp;l'!AA$3,logs!$A:$A,"&gt;"&amp;assumptions!$C$2)</f>
        <v>0</v>
      </c>
      <c r="AB5" s="57">
        <f ca="1">SUMIFS(logs!$V:$V,logs!$M:$M,'p&amp;l'!$Q5&amp;'p&amp;l'!AB$3,logs!$A:$A,"&gt;"&amp;assumptions!$C$2)</f>
        <v>0</v>
      </c>
      <c r="AC5" s="57">
        <f ca="1">SUMIFS(logs!$V:$V,logs!$M:$M,'p&amp;l'!$Q5&amp;'p&amp;l'!AC$3,logs!$A:$A,"&gt;"&amp;assumptions!$C$2)</f>
        <v>0</v>
      </c>
      <c r="AD5" s="57">
        <f ca="1">SUMIFS(logs!$V:$V,logs!$M:$M,'p&amp;l'!$Q5&amp;'p&amp;l'!AD$3,logs!$A:$A,"&gt;"&amp;assumptions!$C$2)</f>
        <v>0</v>
      </c>
      <c r="AE5" s="58">
        <f t="shared" ref="AE5:AE30" ca="1" si="1">SUM(R5:AD5)</f>
        <v>0</v>
      </c>
      <c r="AG5" s="44" t="s">
        <v>18</v>
      </c>
      <c r="AH5" s="57">
        <f>-SUMIF(logs!$M:$M,'p&amp;l'!$AG5&amp;'p&amp;l'!AH$3,logs!$R:$R)</f>
        <v>0</v>
      </c>
      <c r="AI5" s="57">
        <f>-SUMIF(logs!$M:$M,'p&amp;l'!$AG5&amp;'p&amp;l'!AI$3,logs!$R:$R)</f>
        <v>0</v>
      </c>
      <c r="AJ5" s="57">
        <f>-SUMIF(logs!$M:$M,'p&amp;l'!$AG5&amp;'p&amp;l'!AJ$3,logs!$R:$R)</f>
        <v>-11.377449312004668</v>
      </c>
      <c r="AK5" s="57">
        <f>-SUMIF(logs!$M:$M,'p&amp;l'!$AG5&amp;'p&amp;l'!AK$3,logs!$R:$R)</f>
        <v>0</v>
      </c>
      <c r="AL5" s="57">
        <f>-SUMIF(logs!$M:$M,'p&amp;l'!$AG5&amp;'p&amp;l'!AL$3,logs!$R:$R)</f>
        <v>-15.169932416006224</v>
      </c>
      <c r="AM5" s="57">
        <f>-SUMIF(logs!$M:$M,'p&amp;l'!$AG5&amp;'p&amp;l'!AM$3,logs!$R:$R)</f>
        <v>0</v>
      </c>
      <c r="AN5" s="57">
        <f>-SUMIF(logs!$M:$M,'p&amp;l'!$AG5&amp;'p&amp;l'!AN$3,logs!$R:$R)</f>
        <v>-15.169932416006224</v>
      </c>
      <c r="AO5" s="57">
        <f>-SUMIF(logs!$M:$M,'p&amp;l'!$AG5&amp;'p&amp;l'!AO$3,logs!$R:$R)</f>
        <v>0</v>
      </c>
      <c r="AP5" s="57">
        <f>-SUMIF(logs!$M:$M,'p&amp;l'!$AG5&amp;'p&amp;l'!AP$3,logs!$R:$R)</f>
        <v>0</v>
      </c>
      <c r="AQ5" s="57">
        <f>-SUMIF(logs!$M:$M,'p&amp;l'!$AG5&amp;'p&amp;l'!AQ$3,logs!$R:$R)</f>
        <v>0</v>
      </c>
      <c r="AR5" s="57">
        <f>-SUMIF(logs!$M:$M,'p&amp;l'!$AG5&amp;'p&amp;l'!AR$3,logs!$R:$R)</f>
        <v>0</v>
      </c>
      <c r="AS5" s="57">
        <f>-SUMIF(logs!$M:$M,'p&amp;l'!$AG5&amp;'p&amp;l'!AS$3,logs!$R:$R)</f>
        <v>0</v>
      </c>
      <c r="AT5" s="57">
        <f>-SUMIF(logs!$M:$M,'p&amp;l'!$AG5&amp;'p&amp;l'!AT$3,logs!$R:$R)</f>
        <v>0</v>
      </c>
      <c r="AU5" s="58">
        <f t="shared" ref="AU5:AU30" si="2">SUM(AH5:AT5)</f>
        <v>-41.717314144017116</v>
      </c>
    </row>
    <row r="6" spans="1:47" x14ac:dyDescent="0.35">
      <c r="A6" s="44" t="s">
        <v>22</v>
      </c>
      <c r="B6" s="57">
        <f>SUMIF(logs!$M:$M,'p&amp;l'!$A6&amp;'p&amp;l'!B$3,logs!$V:$V)+AH6</f>
        <v>0</v>
      </c>
      <c r="C6" s="57">
        <f>SUMIF(logs!$M:$M,'p&amp;l'!$A6&amp;'p&amp;l'!C$3,logs!$V:$V)+AI6</f>
        <v>0</v>
      </c>
      <c r="D6" s="57">
        <f>SUMIF(logs!$M:$M,'p&amp;l'!$A6&amp;'p&amp;l'!D$3,logs!$V:$V)+AJ6</f>
        <v>-105980.5731057134</v>
      </c>
      <c r="E6" s="57">
        <f>SUMIF(logs!$M:$M,'p&amp;l'!$A6&amp;'p&amp;l'!E$3,logs!$V:$V)+AK6</f>
        <v>0</v>
      </c>
      <c r="F6" s="57">
        <f>SUMIF(logs!$M:$M,'p&amp;l'!$A6&amp;'p&amp;l'!F$3,logs!$V:$V)+AL6</f>
        <v>0</v>
      </c>
      <c r="G6" s="57">
        <f>SUMIF(logs!$M:$M,'p&amp;l'!$A6&amp;'p&amp;l'!G$3,logs!$V:$V)+AM6</f>
        <v>0</v>
      </c>
      <c r="H6" s="57">
        <f>SUMIF(logs!$M:$M,'p&amp;l'!$A6&amp;'p&amp;l'!H$3,logs!$V:$V)+AN6</f>
        <v>83499.471782497669</v>
      </c>
      <c r="I6" s="57">
        <f>SUMIF(logs!$M:$M,'p&amp;l'!$A6&amp;'p&amp;l'!I$3,logs!$V:$V)+AO6</f>
        <v>0</v>
      </c>
      <c r="J6" s="57">
        <f>SUMIF(logs!$M:$M,'p&amp;l'!$A6&amp;'p&amp;l'!J$3,logs!$V:$V)+AP6</f>
        <v>0</v>
      </c>
      <c r="K6" s="57">
        <f>SUMIF(logs!$M:$M,'p&amp;l'!$A6&amp;'p&amp;l'!K$3,logs!$V:$V)+AQ6</f>
        <v>0</v>
      </c>
      <c r="L6" s="57">
        <f>SUMIF(logs!$M:$M,'p&amp;l'!$A6&amp;'p&amp;l'!L$3,logs!$V:$V)+AR6</f>
        <v>0</v>
      </c>
      <c r="M6" s="57">
        <f>SUMIF(logs!$M:$M,'p&amp;l'!$A6&amp;'p&amp;l'!M$3,logs!$V:$V)+AS6</f>
        <v>0</v>
      </c>
      <c r="N6" s="57">
        <f>SUMIF(logs!$M:$M,'p&amp;l'!$A6&amp;'p&amp;l'!N$3,logs!$V:$V)+AT6</f>
        <v>0</v>
      </c>
      <c r="O6" s="58">
        <f t="shared" si="0"/>
        <v>-22481.101323215727</v>
      </c>
      <c r="Q6" s="44" t="s">
        <v>22</v>
      </c>
      <c r="R6" s="57">
        <f ca="1">SUMIFS(logs!$V:$V,logs!$M:$M,'p&amp;l'!$Q6&amp;'p&amp;l'!R$3,logs!$A:$A,"&gt;"&amp;assumptions!$C$2)</f>
        <v>0</v>
      </c>
      <c r="S6" s="57">
        <f ca="1">SUMIFS(logs!$V:$V,logs!$M:$M,'p&amp;l'!$Q6&amp;'p&amp;l'!S$3,logs!$A:$A,"&gt;"&amp;assumptions!$C$2)</f>
        <v>0</v>
      </c>
      <c r="T6" s="57">
        <f ca="1">SUMIFS(logs!$V:$V,logs!$M:$M,'p&amp;l'!$Q6&amp;'p&amp;l'!T$3,logs!$A:$A,"&gt;"&amp;assumptions!$C$2)</f>
        <v>-105962.07521652809</v>
      </c>
      <c r="U6" s="57">
        <f ca="1">SUMIFS(logs!$V:$V,logs!$M:$M,'p&amp;l'!$Q6&amp;'p&amp;l'!U$3,logs!$A:$A,"&gt;"&amp;assumptions!$C$2)</f>
        <v>0</v>
      </c>
      <c r="V6" s="57">
        <f ca="1">SUMIFS(logs!$V:$V,logs!$M:$M,'p&amp;l'!$Q6&amp;'p&amp;l'!V$3,logs!$A:$A,"&gt;"&amp;assumptions!$C$2)</f>
        <v>0</v>
      </c>
      <c r="W6" s="57">
        <f ca="1">SUMIFS(logs!$V:$V,logs!$M:$M,'p&amp;l'!$Q6&amp;'p&amp;l'!W$3,logs!$A:$A,"&gt;"&amp;assumptions!$C$2)</f>
        <v>0</v>
      </c>
      <c r="X6" s="57">
        <f ca="1">SUMIFS(logs!$V:$V,logs!$M:$M,'p&amp;l'!$Q6&amp;'p&amp;l'!X$3,logs!$A:$A,"&gt;"&amp;assumptions!$C$2)</f>
        <v>83517.969671682979</v>
      </c>
      <c r="Y6" s="57">
        <f ca="1">SUMIFS(logs!$V:$V,logs!$M:$M,'p&amp;l'!$Q6&amp;'p&amp;l'!Y$3,logs!$A:$A,"&gt;"&amp;assumptions!$C$2)</f>
        <v>0</v>
      </c>
      <c r="Z6" s="57">
        <f ca="1">SUMIFS(logs!$V:$V,logs!$M:$M,'p&amp;l'!$Q6&amp;'p&amp;l'!Z$3,logs!$A:$A,"&gt;"&amp;assumptions!$C$2)</f>
        <v>0</v>
      </c>
      <c r="AA6" s="57">
        <f ca="1">SUMIFS(logs!$V:$V,logs!$M:$M,'p&amp;l'!$Q6&amp;'p&amp;l'!AA$3,logs!$A:$A,"&gt;"&amp;assumptions!$C$2)</f>
        <v>0</v>
      </c>
      <c r="AB6" s="57">
        <f ca="1">SUMIFS(logs!$V:$V,logs!$M:$M,'p&amp;l'!$Q6&amp;'p&amp;l'!AB$3,logs!$A:$A,"&gt;"&amp;assumptions!$C$2)</f>
        <v>0</v>
      </c>
      <c r="AC6" s="57">
        <f ca="1">SUMIFS(logs!$V:$V,logs!$M:$M,'p&amp;l'!$Q6&amp;'p&amp;l'!AC$3,logs!$A:$A,"&gt;"&amp;assumptions!$C$2)</f>
        <v>0</v>
      </c>
      <c r="AD6" s="57">
        <f ca="1">SUMIFS(logs!$V:$V,logs!$M:$M,'p&amp;l'!$Q6&amp;'p&amp;l'!AD$3,logs!$A:$A,"&gt;"&amp;assumptions!$C$2)</f>
        <v>0</v>
      </c>
      <c r="AE6" s="58">
        <f t="shared" ca="1" si="1"/>
        <v>-22444.105544845108</v>
      </c>
      <c r="AG6" s="44" t="s">
        <v>22</v>
      </c>
      <c r="AH6" s="57">
        <f>-SUMIF(logs!$M:$M,'p&amp;l'!$AG6&amp;'p&amp;l'!AH$3,logs!$R:$R)</f>
        <v>0</v>
      </c>
      <c r="AI6" s="57">
        <f>-SUMIF(logs!$M:$M,'p&amp;l'!$AG6&amp;'p&amp;l'!AI$3,logs!$R:$R)</f>
        <v>0</v>
      </c>
      <c r="AJ6" s="57">
        <f>-SUMIF(logs!$M:$M,'p&amp;l'!$AG6&amp;'p&amp;l'!AJ$3,logs!$R:$R)</f>
        <v>-18.497889185311852</v>
      </c>
      <c r="AK6" s="57">
        <f>-SUMIF(logs!$M:$M,'p&amp;l'!$AG6&amp;'p&amp;l'!AK$3,logs!$R:$R)</f>
        <v>0</v>
      </c>
      <c r="AL6" s="57">
        <f>-SUMIF(logs!$M:$M,'p&amp;l'!$AG6&amp;'p&amp;l'!AL$3,logs!$R:$R)</f>
        <v>0</v>
      </c>
      <c r="AM6" s="57">
        <f>-SUMIF(logs!$M:$M,'p&amp;l'!$AG6&amp;'p&amp;l'!AM$3,logs!$R:$R)</f>
        <v>0</v>
      </c>
      <c r="AN6" s="57">
        <f>-SUMIF(logs!$M:$M,'p&amp;l'!$AG6&amp;'p&amp;l'!AN$3,logs!$R:$R)</f>
        <v>-18.497889185311852</v>
      </c>
      <c r="AO6" s="57">
        <f>-SUMIF(logs!$M:$M,'p&amp;l'!$AG6&amp;'p&amp;l'!AO$3,logs!$R:$R)</f>
        <v>0</v>
      </c>
      <c r="AP6" s="57">
        <f>-SUMIF(logs!$M:$M,'p&amp;l'!$AG6&amp;'p&amp;l'!AP$3,logs!$R:$R)</f>
        <v>0</v>
      </c>
      <c r="AQ6" s="57">
        <f>-SUMIF(logs!$M:$M,'p&amp;l'!$AG6&amp;'p&amp;l'!AQ$3,logs!$R:$R)</f>
        <v>0</v>
      </c>
      <c r="AR6" s="57">
        <f>-SUMIF(logs!$M:$M,'p&amp;l'!$AG6&amp;'p&amp;l'!AR$3,logs!$R:$R)</f>
        <v>0</v>
      </c>
      <c r="AS6" s="57">
        <f>-SUMIF(logs!$M:$M,'p&amp;l'!$AG6&amp;'p&amp;l'!AS$3,logs!$R:$R)</f>
        <v>0</v>
      </c>
      <c r="AT6" s="57">
        <f>-SUMIF(logs!$M:$M,'p&amp;l'!$AG6&amp;'p&amp;l'!AT$3,logs!$R:$R)</f>
        <v>0</v>
      </c>
      <c r="AU6" s="58">
        <f t="shared" si="2"/>
        <v>-36.995778370623704</v>
      </c>
    </row>
    <row r="7" spans="1:47" x14ac:dyDescent="0.35">
      <c r="A7" s="44" t="s">
        <v>139</v>
      </c>
      <c r="B7" s="57">
        <f>SUMIF(logs!$M:$M,'p&amp;l'!$A7&amp;'p&amp;l'!B$3,logs!$V:$V)+AH7</f>
        <v>0</v>
      </c>
      <c r="C7" s="57">
        <f>SUMIF(logs!$M:$M,'p&amp;l'!$A7&amp;'p&amp;l'!C$3,logs!$V:$V)+AI7</f>
        <v>0</v>
      </c>
      <c r="D7" s="57">
        <f>SUMIF(logs!$M:$M,'p&amp;l'!$A7&amp;'p&amp;l'!D$3,logs!$V:$V)+AJ7</f>
        <v>0</v>
      </c>
      <c r="E7" s="57">
        <f>SUMIF(logs!$M:$M,'p&amp;l'!$A7&amp;'p&amp;l'!E$3,logs!$V:$V)+AK7</f>
        <v>0</v>
      </c>
      <c r="F7" s="57">
        <f>SUMIF(logs!$M:$M,'p&amp;l'!$A7&amp;'p&amp;l'!F$3,logs!$V:$V)+AL7</f>
        <v>0</v>
      </c>
      <c r="G7" s="57">
        <f>SUMIF(logs!$M:$M,'p&amp;l'!$A7&amp;'p&amp;l'!G$3,logs!$V:$V)+AM7</f>
        <v>0</v>
      </c>
      <c r="H7" s="57">
        <f>SUMIF(logs!$M:$M,'p&amp;l'!$A7&amp;'p&amp;l'!H$3,logs!$V:$V)+AN7</f>
        <v>0</v>
      </c>
      <c r="I7" s="57">
        <f>SUMIF(logs!$M:$M,'p&amp;l'!$A7&amp;'p&amp;l'!I$3,logs!$V:$V)+AO7</f>
        <v>0</v>
      </c>
      <c r="J7" s="57">
        <f>SUMIF(logs!$M:$M,'p&amp;l'!$A7&amp;'p&amp;l'!J$3,logs!$V:$V)+AP7</f>
        <v>0</v>
      </c>
      <c r="K7" s="57">
        <f>SUMIF(logs!$M:$M,'p&amp;l'!$A7&amp;'p&amp;l'!K$3,logs!$V:$V)+AQ7</f>
        <v>0</v>
      </c>
      <c r="L7" s="57">
        <f>SUMIF(logs!$M:$M,'p&amp;l'!$A7&amp;'p&amp;l'!L$3,logs!$V:$V)+AR7</f>
        <v>0</v>
      </c>
      <c r="M7" s="57">
        <f>SUMIF(logs!$M:$M,'p&amp;l'!$A7&amp;'p&amp;l'!M$3,logs!$V:$V)+AS7</f>
        <v>0</v>
      </c>
      <c r="N7" s="57">
        <f>SUMIF(logs!$M:$M,'p&amp;l'!$A7&amp;'p&amp;l'!N$3,logs!$V:$V)+AT7</f>
        <v>0</v>
      </c>
      <c r="O7" s="58">
        <f t="shared" si="0"/>
        <v>0</v>
      </c>
      <c r="Q7" s="44" t="s">
        <v>139</v>
      </c>
      <c r="R7" s="57">
        <f ca="1">SUMIFS(logs!$V:$V,logs!$M:$M,'p&amp;l'!$Q7&amp;'p&amp;l'!R$3,logs!$A:$A,"&gt;"&amp;assumptions!$C$2)</f>
        <v>0</v>
      </c>
      <c r="S7" s="57">
        <f ca="1">SUMIFS(logs!$V:$V,logs!$M:$M,'p&amp;l'!$Q7&amp;'p&amp;l'!S$3,logs!$A:$A,"&gt;"&amp;assumptions!$C$2)</f>
        <v>0</v>
      </c>
      <c r="T7" s="57">
        <f ca="1">SUMIFS(logs!$V:$V,logs!$M:$M,'p&amp;l'!$Q7&amp;'p&amp;l'!T$3,logs!$A:$A,"&gt;"&amp;assumptions!$C$2)</f>
        <v>0</v>
      </c>
      <c r="U7" s="57">
        <f ca="1">SUMIFS(logs!$V:$V,logs!$M:$M,'p&amp;l'!$Q7&amp;'p&amp;l'!U$3,logs!$A:$A,"&gt;"&amp;assumptions!$C$2)</f>
        <v>0</v>
      </c>
      <c r="V7" s="57">
        <f ca="1">SUMIFS(logs!$V:$V,logs!$M:$M,'p&amp;l'!$Q7&amp;'p&amp;l'!V$3,logs!$A:$A,"&gt;"&amp;assumptions!$C$2)</f>
        <v>0</v>
      </c>
      <c r="W7" s="57">
        <f ca="1">SUMIFS(logs!$V:$V,logs!$M:$M,'p&amp;l'!$Q7&amp;'p&amp;l'!W$3,logs!$A:$A,"&gt;"&amp;assumptions!$C$2)</f>
        <v>0</v>
      </c>
      <c r="X7" s="57">
        <f ca="1">SUMIFS(logs!$V:$V,logs!$M:$M,'p&amp;l'!$Q7&amp;'p&amp;l'!X$3,logs!$A:$A,"&gt;"&amp;assumptions!$C$2)</f>
        <v>0</v>
      </c>
      <c r="Y7" s="57">
        <f ca="1">SUMIFS(logs!$V:$V,logs!$M:$M,'p&amp;l'!$Q7&amp;'p&amp;l'!Y$3,logs!$A:$A,"&gt;"&amp;assumptions!$C$2)</f>
        <v>0</v>
      </c>
      <c r="Z7" s="57">
        <f ca="1">SUMIFS(logs!$V:$V,logs!$M:$M,'p&amp;l'!$Q7&amp;'p&amp;l'!Z$3,logs!$A:$A,"&gt;"&amp;assumptions!$C$2)</f>
        <v>0</v>
      </c>
      <c r="AA7" s="57">
        <f ca="1">SUMIFS(logs!$V:$V,logs!$M:$M,'p&amp;l'!$Q7&amp;'p&amp;l'!AA$3,logs!$A:$A,"&gt;"&amp;assumptions!$C$2)</f>
        <v>0</v>
      </c>
      <c r="AB7" s="57">
        <f ca="1">SUMIFS(logs!$V:$V,logs!$M:$M,'p&amp;l'!$Q7&amp;'p&amp;l'!AB$3,logs!$A:$A,"&gt;"&amp;assumptions!$C$2)</f>
        <v>0</v>
      </c>
      <c r="AC7" s="57">
        <f ca="1">SUMIFS(logs!$V:$V,logs!$M:$M,'p&amp;l'!$Q7&amp;'p&amp;l'!AC$3,logs!$A:$A,"&gt;"&amp;assumptions!$C$2)</f>
        <v>0</v>
      </c>
      <c r="AD7" s="57">
        <f ca="1">SUMIFS(logs!$V:$V,logs!$M:$M,'p&amp;l'!$Q7&amp;'p&amp;l'!AD$3,logs!$A:$A,"&gt;"&amp;assumptions!$C$2)</f>
        <v>0</v>
      </c>
      <c r="AE7" s="58">
        <f t="shared" ca="1" si="1"/>
        <v>0</v>
      </c>
      <c r="AG7" s="44" t="s">
        <v>139</v>
      </c>
      <c r="AH7" s="57">
        <f>-SUMIF(logs!$M:$M,'p&amp;l'!$AG7&amp;'p&amp;l'!AH$3,logs!$R:$R)</f>
        <v>0</v>
      </c>
      <c r="AI7" s="57">
        <f>-SUMIF(logs!$M:$M,'p&amp;l'!$AG7&amp;'p&amp;l'!AI$3,logs!$R:$R)</f>
        <v>0</v>
      </c>
      <c r="AJ7" s="57">
        <f>-SUMIF(logs!$M:$M,'p&amp;l'!$AG7&amp;'p&amp;l'!AJ$3,logs!$R:$R)</f>
        <v>0</v>
      </c>
      <c r="AK7" s="57">
        <f>-SUMIF(logs!$M:$M,'p&amp;l'!$AG7&amp;'p&amp;l'!AK$3,logs!$R:$R)</f>
        <v>0</v>
      </c>
      <c r="AL7" s="57">
        <f>-SUMIF(logs!$M:$M,'p&amp;l'!$AG7&amp;'p&amp;l'!AL$3,logs!$R:$R)</f>
        <v>0</v>
      </c>
      <c r="AM7" s="57">
        <f>-SUMIF(logs!$M:$M,'p&amp;l'!$AG7&amp;'p&amp;l'!AM$3,logs!$R:$R)</f>
        <v>0</v>
      </c>
      <c r="AN7" s="57">
        <f>-SUMIF(logs!$M:$M,'p&amp;l'!$AG7&amp;'p&amp;l'!AN$3,logs!$R:$R)</f>
        <v>0</v>
      </c>
      <c r="AO7" s="57">
        <f>-SUMIF(logs!$M:$M,'p&amp;l'!$AG7&amp;'p&amp;l'!AO$3,logs!$R:$R)</f>
        <v>0</v>
      </c>
      <c r="AP7" s="57">
        <f>-SUMIF(logs!$M:$M,'p&amp;l'!$AG7&amp;'p&amp;l'!AP$3,logs!$R:$R)</f>
        <v>0</v>
      </c>
      <c r="AQ7" s="57">
        <f>-SUMIF(logs!$M:$M,'p&amp;l'!$AG7&amp;'p&amp;l'!AQ$3,logs!$R:$R)</f>
        <v>0</v>
      </c>
      <c r="AR7" s="57">
        <f>-SUMIF(logs!$M:$M,'p&amp;l'!$AG7&amp;'p&amp;l'!AR$3,logs!$R:$R)</f>
        <v>0</v>
      </c>
      <c r="AS7" s="57">
        <f>-SUMIF(logs!$M:$M,'p&amp;l'!$AG7&amp;'p&amp;l'!AS$3,logs!$R:$R)</f>
        <v>0</v>
      </c>
      <c r="AT7" s="57">
        <f>-SUMIF(logs!$M:$M,'p&amp;l'!$AG7&amp;'p&amp;l'!AT$3,logs!$R:$R)</f>
        <v>0</v>
      </c>
      <c r="AU7" s="58">
        <f t="shared" si="2"/>
        <v>0</v>
      </c>
    </row>
    <row r="8" spans="1:47" x14ac:dyDescent="0.35">
      <c r="A8" s="44" t="s">
        <v>27</v>
      </c>
      <c r="B8" s="57">
        <f>SUMIF(logs!$M:$M,'p&amp;l'!$A8&amp;'p&amp;l'!B$3,logs!$V:$V)+AH8</f>
        <v>0</v>
      </c>
      <c r="C8" s="57">
        <f>SUMIF(logs!$M:$M,'p&amp;l'!$A8&amp;'p&amp;l'!C$3,logs!$V:$V)+AI8</f>
        <v>0</v>
      </c>
      <c r="D8" s="57">
        <f>SUMIF(logs!$M:$M,'p&amp;l'!$A8&amp;'p&amp;l'!D$3,logs!$V:$V)+AJ8</f>
        <v>-17001.615482322261</v>
      </c>
      <c r="E8" s="57">
        <f>SUMIF(logs!$M:$M,'p&amp;l'!$A8&amp;'p&amp;l'!E$3,logs!$V:$V)+AK8</f>
        <v>0</v>
      </c>
      <c r="F8" s="57">
        <f>SUMIF(logs!$M:$M,'p&amp;l'!$A8&amp;'p&amp;l'!F$3,logs!$V:$V)+AL8</f>
        <v>0</v>
      </c>
      <c r="G8" s="57">
        <f>SUMIF(logs!$M:$M,'p&amp;l'!$A8&amp;'p&amp;l'!G$3,logs!$V:$V)+AM8</f>
        <v>0</v>
      </c>
      <c r="H8" s="57">
        <f>SUMIF(logs!$M:$M,'p&amp;l'!$A8&amp;'p&amp;l'!H$3,logs!$V:$V)+AN8</f>
        <v>0</v>
      </c>
      <c r="I8" s="57">
        <f>SUMIF(logs!$M:$M,'p&amp;l'!$A8&amp;'p&amp;l'!I$3,logs!$V:$V)+AO8</f>
        <v>0</v>
      </c>
      <c r="J8" s="57">
        <f>SUMIF(logs!$M:$M,'p&amp;l'!$A8&amp;'p&amp;l'!J$3,logs!$V:$V)+AP8</f>
        <v>0</v>
      </c>
      <c r="K8" s="57">
        <f>SUMIF(logs!$M:$M,'p&amp;l'!$A8&amp;'p&amp;l'!K$3,logs!$V:$V)+AQ8</f>
        <v>0</v>
      </c>
      <c r="L8" s="57">
        <f>SUMIF(logs!$M:$M,'p&amp;l'!$A8&amp;'p&amp;l'!L$3,logs!$V:$V)+AR8</f>
        <v>0</v>
      </c>
      <c r="M8" s="57">
        <f>SUMIF(logs!$M:$M,'p&amp;l'!$A8&amp;'p&amp;l'!M$3,logs!$V:$V)+AS8</f>
        <v>0</v>
      </c>
      <c r="N8" s="57">
        <f>SUMIF(logs!$M:$M,'p&amp;l'!$A8&amp;'p&amp;l'!N$3,logs!$V:$V)+AT8</f>
        <v>0</v>
      </c>
      <c r="O8" s="58">
        <f t="shared" si="0"/>
        <v>-17001.615482322261</v>
      </c>
      <c r="Q8" s="44" t="s">
        <v>27</v>
      </c>
      <c r="R8" s="57">
        <f ca="1">SUMIFS(logs!$V:$V,logs!$M:$M,'p&amp;l'!$Q8&amp;'p&amp;l'!R$3,logs!$A:$A,"&gt;"&amp;assumptions!$C$2)</f>
        <v>0</v>
      </c>
      <c r="S8" s="57">
        <f ca="1">SUMIFS(logs!$V:$V,logs!$M:$M,'p&amp;l'!$Q8&amp;'p&amp;l'!S$3,logs!$A:$A,"&gt;"&amp;assumptions!$C$2)</f>
        <v>0</v>
      </c>
      <c r="T8" s="57">
        <f ca="1">SUMIFS(logs!$V:$V,logs!$M:$M,'p&amp;l'!$Q8&amp;'p&amp;l'!T$3,logs!$A:$A,"&gt;"&amp;assumptions!$C$2)</f>
        <v>0</v>
      </c>
      <c r="U8" s="57">
        <f ca="1">SUMIFS(logs!$V:$V,logs!$M:$M,'p&amp;l'!$Q8&amp;'p&amp;l'!U$3,logs!$A:$A,"&gt;"&amp;assumptions!$C$2)</f>
        <v>0</v>
      </c>
      <c r="V8" s="57">
        <f ca="1">SUMIFS(logs!$V:$V,logs!$M:$M,'p&amp;l'!$Q8&amp;'p&amp;l'!V$3,logs!$A:$A,"&gt;"&amp;assumptions!$C$2)</f>
        <v>0</v>
      </c>
      <c r="W8" s="57">
        <f ca="1">SUMIFS(logs!$V:$V,logs!$M:$M,'p&amp;l'!$Q8&amp;'p&amp;l'!W$3,logs!$A:$A,"&gt;"&amp;assumptions!$C$2)</f>
        <v>0</v>
      </c>
      <c r="X8" s="57">
        <f ca="1">SUMIFS(logs!$V:$V,logs!$M:$M,'p&amp;l'!$Q8&amp;'p&amp;l'!X$3,logs!$A:$A,"&gt;"&amp;assumptions!$C$2)</f>
        <v>0</v>
      </c>
      <c r="Y8" s="57">
        <f ca="1">SUMIFS(logs!$V:$V,logs!$M:$M,'p&amp;l'!$Q8&amp;'p&amp;l'!Y$3,logs!$A:$A,"&gt;"&amp;assumptions!$C$2)</f>
        <v>0</v>
      </c>
      <c r="Z8" s="57">
        <f ca="1">SUMIFS(logs!$V:$V,logs!$M:$M,'p&amp;l'!$Q8&amp;'p&amp;l'!Z$3,logs!$A:$A,"&gt;"&amp;assumptions!$C$2)</f>
        <v>0</v>
      </c>
      <c r="AA8" s="57">
        <f ca="1">SUMIFS(logs!$V:$V,logs!$M:$M,'p&amp;l'!$Q8&amp;'p&amp;l'!AA$3,logs!$A:$A,"&gt;"&amp;assumptions!$C$2)</f>
        <v>0</v>
      </c>
      <c r="AB8" s="57">
        <f ca="1">SUMIFS(logs!$V:$V,logs!$M:$M,'p&amp;l'!$Q8&amp;'p&amp;l'!AB$3,logs!$A:$A,"&gt;"&amp;assumptions!$C$2)</f>
        <v>0</v>
      </c>
      <c r="AC8" s="57">
        <f ca="1">SUMIFS(logs!$V:$V,logs!$M:$M,'p&amp;l'!$Q8&amp;'p&amp;l'!AC$3,logs!$A:$A,"&gt;"&amp;assumptions!$C$2)</f>
        <v>0</v>
      </c>
      <c r="AD8" s="57">
        <f ca="1">SUMIFS(logs!$V:$V,logs!$M:$M,'p&amp;l'!$Q8&amp;'p&amp;l'!AD$3,logs!$A:$A,"&gt;"&amp;assumptions!$C$2)</f>
        <v>0</v>
      </c>
      <c r="AE8" s="58">
        <f t="shared" ca="1" si="1"/>
        <v>0</v>
      </c>
      <c r="AG8" s="44" t="s">
        <v>27</v>
      </c>
      <c r="AH8" s="57">
        <f>-SUMIF(logs!$M:$M,'p&amp;l'!$AG8&amp;'p&amp;l'!AH$3,logs!$R:$R)</f>
        <v>0</v>
      </c>
      <c r="AI8" s="57">
        <f>-SUMIF(logs!$M:$M,'p&amp;l'!$AG8&amp;'p&amp;l'!AI$3,logs!$R:$R)</f>
        <v>0</v>
      </c>
      <c r="AJ8" s="57">
        <f>-SUMIF(logs!$M:$M,'p&amp;l'!$AG8&amp;'p&amp;l'!AJ$3,logs!$R:$R)</f>
        <v>-24.66385224708247</v>
      </c>
      <c r="AK8" s="57">
        <f>-SUMIF(logs!$M:$M,'p&amp;l'!$AG8&amp;'p&amp;l'!AK$3,logs!$R:$R)</f>
        <v>0</v>
      </c>
      <c r="AL8" s="57">
        <f>-SUMIF(logs!$M:$M,'p&amp;l'!$AG8&amp;'p&amp;l'!AL$3,logs!$R:$R)</f>
        <v>0</v>
      </c>
      <c r="AM8" s="57">
        <f>-SUMIF(logs!$M:$M,'p&amp;l'!$AG8&amp;'p&amp;l'!AM$3,logs!$R:$R)</f>
        <v>0</v>
      </c>
      <c r="AN8" s="57">
        <f>-SUMIF(logs!$M:$M,'p&amp;l'!$AG8&amp;'p&amp;l'!AN$3,logs!$R:$R)</f>
        <v>0</v>
      </c>
      <c r="AO8" s="57">
        <f>-SUMIF(logs!$M:$M,'p&amp;l'!$AG8&amp;'p&amp;l'!AO$3,logs!$R:$R)</f>
        <v>0</v>
      </c>
      <c r="AP8" s="57">
        <f>-SUMIF(logs!$M:$M,'p&amp;l'!$AG8&amp;'p&amp;l'!AP$3,logs!$R:$R)</f>
        <v>0</v>
      </c>
      <c r="AQ8" s="57">
        <f>-SUMIF(logs!$M:$M,'p&amp;l'!$AG8&amp;'p&amp;l'!AQ$3,logs!$R:$R)</f>
        <v>0</v>
      </c>
      <c r="AR8" s="57">
        <f>-SUMIF(logs!$M:$M,'p&amp;l'!$AG8&amp;'p&amp;l'!AR$3,logs!$R:$R)</f>
        <v>0</v>
      </c>
      <c r="AS8" s="57">
        <f>-SUMIF(logs!$M:$M,'p&amp;l'!$AG8&amp;'p&amp;l'!AS$3,logs!$R:$R)</f>
        <v>0</v>
      </c>
      <c r="AT8" s="57">
        <f>-SUMIF(logs!$M:$M,'p&amp;l'!$AG8&amp;'p&amp;l'!AT$3,logs!$R:$R)</f>
        <v>0</v>
      </c>
      <c r="AU8" s="58">
        <f t="shared" si="2"/>
        <v>-24.66385224708247</v>
      </c>
    </row>
    <row r="9" spans="1:47" x14ac:dyDescent="0.35">
      <c r="A9" s="44" t="s">
        <v>135</v>
      </c>
      <c r="B9" s="57">
        <f>SUMIF(logs!$M:$M,'p&amp;l'!$A9&amp;'p&amp;l'!B$3,logs!$V:$V)+AH9</f>
        <v>0</v>
      </c>
      <c r="C9" s="57">
        <f>SUMIF(logs!$M:$M,'p&amp;l'!$A9&amp;'p&amp;l'!C$3,logs!$V:$V)+AI9</f>
        <v>0</v>
      </c>
      <c r="D9" s="57">
        <f>SUMIF(logs!$M:$M,'p&amp;l'!$A9&amp;'p&amp;l'!D$3,logs!$V:$V)+AJ9</f>
        <v>0</v>
      </c>
      <c r="E9" s="57">
        <f>SUMIF(logs!$M:$M,'p&amp;l'!$A9&amp;'p&amp;l'!E$3,logs!$V:$V)+AK9</f>
        <v>0</v>
      </c>
      <c r="F9" s="57">
        <f>SUMIF(logs!$M:$M,'p&amp;l'!$A9&amp;'p&amp;l'!F$3,logs!$V:$V)+AL9</f>
        <v>0</v>
      </c>
      <c r="G9" s="57">
        <f>SUMIF(logs!$M:$M,'p&amp;l'!$A9&amp;'p&amp;l'!G$3,logs!$V:$V)+AM9</f>
        <v>0</v>
      </c>
      <c r="H9" s="57">
        <f>SUMIF(logs!$M:$M,'p&amp;l'!$A9&amp;'p&amp;l'!H$3,logs!$V:$V)+AN9</f>
        <v>0</v>
      </c>
      <c r="I9" s="57">
        <f>SUMIF(logs!$M:$M,'p&amp;l'!$A9&amp;'p&amp;l'!I$3,logs!$V:$V)+AO9</f>
        <v>0</v>
      </c>
      <c r="J9" s="57">
        <f>SUMIF(logs!$M:$M,'p&amp;l'!$A9&amp;'p&amp;l'!J$3,logs!$V:$V)+AP9</f>
        <v>0</v>
      </c>
      <c r="K9" s="57">
        <f>SUMIF(logs!$M:$M,'p&amp;l'!$A9&amp;'p&amp;l'!K$3,logs!$V:$V)+AQ9</f>
        <v>0</v>
      </c>
      <c r="L9" s="57">
        <f>SUMIF(logs!$M:$M,'p&amp;l'!$A9&amp;'p&amp;l'!L$3,logs!$V:$V)+AR9</f>
        <v>0</v>
      </c>
      <c r="M9" s="57">
        <f>SUMIF(logs!$M:$M,'p&amp;l'!$A9&amp;'p&amp;l'!M$3,logs!$V:$V)+AS9</f>
        <v>0</v>
      </c>
      <c r="N9" s="57">
        <f>SUMIF(logs!$M:$M,'p&amp;l'!$A9&amp;'p&amp;l'!N$3,logs!$V:$V)+AT9</f>
        <v>0</v>
      </c>
      <c r="O9" s="58">
        <f t="shared" si="0"/>
        <v>0</v>
      </c>
      <c r="Q9" s="44" t="s">
        <v>135</v>
      </c>
      <c r="R9" s="57">
        <f ca="1">SUMIFS(logs!$V:$V,logs!$M:$M,'p&amp;l'!$Q9&amp;'p&amp;l'!R$3,logs!$A:$A,"&gt;"&amp;assumptions!$C$2)</f>
        <v>0</v>
      </c>
      <c r="S9" s="57">
        <f ca="1">SUMIFS(logs!$V:$V,logs!$M:$M,'p&amp;l'!$Q9&amp;'p&amp;l'!S$3,logs!$A:$A,"&gt;"&amp;assumptions!$C$2)</f>
        <v>0</v>
      </c>
      <c r="T9" s="57">
        <f ca="1">SUMIFS(logs!$V:$V,logs!$M:$M,'p&amp;l'!$Q9&amp;'p&amp;l'!T$3,logs!$A:$A,"&gt;"&amp;assumptions!$C$2)</f>
        <v>0</v>
      </c>
      <c r="U9" s="57">
        <f ca="1">SUMIFS(logs!$V:$V,logs!$M:$M,'p&amp;l'!$Q9&amp;'p&amp;l'!U$3,logs!$A:$A,"&gt;"&amp;assumptions!$C$2)</f>
        <v>0</v>
      </c>
      <c r="V9" s="57">
        <f ca="1">SUMIFS(logs!$V:$V,logs!$M:$M,'p&amp;l'!$Q9&amp;'p&amp;l'!V$3,logs!$A:$A,"&gt;"&amp;assumptions!$C$2)</f>
        <v>0</v>
      </c>
      <c r="W9" s="57">
        <f ca="1">SUMIFS(logs!$V:$V,logs!$M:$M,'p&amp;l'!$Q9&amp;'p&amp;l'!W$3,logs!$A:$A,"&gt;"&amp;assumptions!$C$2)</f>
        <v>0</v>
      </c>
      <c r="X9" s="57">
        <f ca="1">SUMIFS(logs!$V:$V,logs!$M:$M,'p&amp;l'!$Q9&amp;'p&amp;l'!X$3,logs!$A:$A,"&gt;"&amp;assumptions!$C$2)</f>
        <v>0</v>
      </c>
      <c r="Y9" s="57">
        <f ca="1">SUMIFS(logs!$V:$V,logs!$M:$M,'p&amp;l'!$Q9&amp;'p&amp;l'!Y$3,logs!$A:$A,"&gt;"&amp;assumptions!$C$2)</f>
        <v>0</v>
      </c>
      <c r="Z9" s="57">
        <f ca="1">SUMIFS(logs!$V:$V,logs!$M:$M,'p&amp;l'!$Q9&amp;'p&amp;l'!Z$3,logs!$A:$A,"&gt;"&amp;assumptions!$C$2)</f>
        <v>0</v>
      </c>
      <c r="AA9" s="57">
        <f ca="1">SUMIFS(logs!$V:$V,logs!$M:$M,'p&amp;l'!$Q9&amp;'p&amp;l'!AA$3,logs!$A:$A,"&gt;"&amp;assumptions!$C$2)</f>
        <v>0</v>
      </c>
      <c r="AB9" s="57">
        <f ca="1">SUMIFS(logs!$V:$V,logs!$M:$M,'p&amp;l'!$Q9&amp;'p&amp;l'!AB$3,logs!$A:$A,"&gt;"&amp;assumptions!$C$2)</f>
        <v>0</v>
      </c>
      <c r="AC9" s="57">
        <f ca="1">SUMIFS(logs!$V:$V,logs!$M:$M,'p&amp;l'!$Q9&amp;'p&amp;l'!AC$3,logs!$A:$A,"&gt;"&amp;assumptions!$C$2)</f>
        <v>0</v>
      </c>
      <c r="AD9" s="57">
        <f ca="1">SUMIFS(logs!$V:$V,logs!$M:$M,'p&amp;l'!$Q9&amp;'p&amp;l'!AD$3,logs!$A:$A,"&gt;"&amp;assumptions!$C$2)</f>
        <v>0</v>
      </c>
      <c r="AE9" s="58">
        <f t="shared" ca="1" si="1"/>
        <v>0</v>
      </c>
      <c r="AG9" s="44" t="s">
        <v>135</v>
      </c>
      <c r="AH9" s="57">
        <f>-SUMIF(logs!$M:$M,'p&amp;l'!$AG9&amp;'p&amp;l'!AH$3,logs!$R:$R)</f>
        <v>0</v>
      </c>
      <c r="AI9" s="57">
        <f>-SUMIF(logs!$M:$M,'p&amp;l'!$AG9&amp;'p&amp;l'!AI$3,logs!$R:$R)</f>
        <v>0</v>
      </c>
      <c r="AJ9" s="57">
        <f>-SUMIF(logs!$M:$M,'p&amp;l'!$AG9&amp;'p&amp;l'!AJ$3,logs!$R:$R)</f>
        <v>0</v>
      </c>
      <c r="AK9" s="57">
        <f>-SUMIF(logs!$M:$M,'p&amp;l'!$AG9&amp;'p&amp;l'!AK$3,logs!$R:$R)</f>
        <v>0</v>
      </c>
      <c r="AL9" s="57">
        <f>-SUMIF(logs!$M:$M,'p&amp;l'!$AG9&amp;'p&amp;l'!AL$3,logs!$R:$R)</f>
        <v>0</v>
      </c>
      <c r="AM9" s="57">
        <f>-SUMIF(logs!$M:$M,'p&amp;l'!$AG9&amp;'p&amp;l'!AM$3,logs!$R:$R)</f>
        <v>0</v>
      </c>
      <c r="AN9" s="57">
        <f>-SUMIF(logs!$M:$M,'p&amp;l'!$AG9&amp;'p&amp;l'!AN$3,logs!$R:$R)</f>
        <v>0</v>
      </c>
      <c r="AO9" s="57">
        <f>-SUMIF(logs!$M:$M,'p&amp;l'!$AG9&amp;'p&amp;l'!AO$3,logs!$R:$R)</f>
        <v>0</v>
      </c>
      <c r="AP9" s="57">
        <f>-SUMIF(logs!$M:$M,'p&amp;l'!$AG9&amp;'p&amp;l'!AP$3,logs!$R:$R)</f>
        <v>0</v>
      </c>
      <c r="AQ9" s="57">
        <f>-SUMIF(logs!$M:$M,'p&amp;l'!$AG9&amp;'p&amp;l'!AQ$3,logs!$R:$R)</f>
        <v>0</v>
      </c>
      <c r="AR9" s="57">
        <f>-SUMIF(logs!$M:$M,'p&amp;l'!$AG9&amp;'p&amp;l'!AR$3,logs!$R:$R)</f>
        <v>0</v>
      </c>
      <c r="AS9" s="57">
        <f>-SUMIF(logs!$M:$M,'p&amp;l'!$AG9&amp;'p&amp;l'!AS$3,logs!$R:$R)</f>
        <v>0</v>
      </c>
      <c r="AT9" s="57">
        <f>-SUMIF(logs!$M:$M,'p&amp;l'!$AG9&amp;'p&amp;l'!AT$3,logs!$R:$R)</f>
        <v>0</v>
      </c>
      <c r="AU9" s="58">
        <f t="shared" si="2"/>
        <v>0</v>
      </c>
    </row>
    <row r="10" spans="1:47" x14ac:dyDescent="0.35">
      <c r="A10" s="44" t="s">
        <v>178</v>
      </c>
      <c r="B10" s="57">
        <f>SUMIF(logs!$M:$M,'p&amp;l'!$A10&amp;'p&amp;l'!B$3,logs!$V:$V)+AH10</f>
        <v>0</v>
      </c>
      <c r="C10" s="57">
        <f>SUMIF(logs!$M:$M,'p&amp;l'!$A10&amp;'p&amp;l'!C$3,logs!$V:$V)+AI10</f>
        <v>0</v>
      </c>
      <c r="D10" s="57">
        <f>SUMIF(logs!$M:$M,'p&amp;l'!$A10&amp;'p&amp;l'!D$3,logs!$V:$V)+AJ10</f>
        <v>-350000.61659630592</v>
      </c>
      <c r="E10" s="57">
        <f>SUMIF(logs!$M:$M,'p&amp;l'!$A10&amp;'p&amp;l'!E$3,logs!$V:$V)+AK10</f>
        <v>0</v>
      </c>
      <c r="F10" s="57">
        <f>SUMIF(logs!$M:$M,'p&amp;l'!$A10&amp;'p&amp;l'!F$3,logs!$V:$V)+AL10</f>
        <v>0</v>
      </c>
      <c r="G10" s="57">
        <f>SUMIF(logs!$M:$M,'p&amp;l'!$A10&amp;'p&amp;l'!G$3,logs!$V:$V)+AM10</f>
        <v>0</v>
      </c>
      <c r="H10" s="57">
        <f>SUMIF(logs!$M:$M,'p&amp;l'!$A10&amp;'p&amp;l'!H$3,logs!$V:$V)+AN10</f>
        <v>34498.563330606754</v>
      </c>
      <c r="I10" s="57">
        <f>SUMIF(logs!$M:$M,'p&amp;l'!$A10&amp;'p&amp;l'!I$3,logs!$V:$V)+AO10</f>
        <v>0</v>
      </c>
      <c r="J10" s="57">
        <f>SUMIF(logs!$M:$M,'p&amp;l'!$A10&amp;'p&amp;l'!J$3,logs!$V:$V)+AP10</f>
        <v>0</v>
      </c>
      <c r="K10" s="57">
        <f>SUMIF(logs!$M:$M,'p&amp;l'!$A10&amp;'p&amp;l'!K$3,logs!$V:$V)+AQ10</f>
        <v>0</v>
      </c>
      <c r="L10" s="57">
        <f>SUMIF(logs!$M:$M,'p&amp;l'!$A10&amp;'p&amp;l'!L$3,logs!$V:$V)+AR10</f>
        <v>0</v>
      </c>
      <c r="M10" s="57">
        <f>SUMIF(logs!$M:$M,'p&amp;l'!$A10&amp;'p&amp;l'!M$3,logs!$V:$V)+AS10</f>
        <v>0</v>
      </c>
      <c r="N10" s="57">
        <f>SUMIF(logs!$M:$M,'p&amp;l'!$A10&amp;'p&amp;l'!N$3,logs!$V:$V)+AT10</f>
        <v>0</v>
      </c>
      <c r="O10" s="58">
        <f t="shared" si="0"/>
        <v>-315502.05326569919</v>
      </c>
      <c r="Q10" s="44" t="s">
        <v>178</v>
      </c>
      <c r="R10" s="57">
        <f ca="1">SUMIFS(logs!$V:$V,logs!$M:$M,'p&amp;l'!$Q10&amp;'p&amp;l'!R$3,logs!$A:$A,"&gt;"&amp;assumptions!$C$2)</f>
        <v>0</v>
      </c>
      <c r="S10" s="57">
        <f ca="1">SUMIFS(logs!$V:$V,logs!$M:$M,'p&amp;l'!$Q10&amp;'p&amp;l'!S$3,logs!$A:$A,"&gt;"&amp;assumptions!$C$2)</f>
        <v>0</v>
      </c>
      <c r="T10" s="57">
        <f ca="1">SUMIFS(logs!$V:$V,logs!$M:$M,'p&amp;l'!$Q10&amp;'p&amp;l'!T$3,logs!$A:$A,"&gt;"&amp;assumptions!$C$2)</f>
        <v>0</v>
      </c>
      <c r="U10" s="57">
        <f ca="1">SUMIFS(logs!$V:$V,logs!$M:$M,'p&amp;l'!$Q10&amp;'p&amp;l'!U$3,logs!$A:$A,"&gt;"&amp;assumptions!$C$2)</f>
        <v>0</v>
      </c>
      <c r="V10" s="57">
        <f ca="1">SUMIFS(logs!$V:$V,logs!$M:$M,'p&amp;l'!$Q10&amp;'p&amp;l'!V$3,logs!$A:$A,"&gt;"&amp;assumptions!$C$2)</f>
        <v>0</v>
      </c>
      <c r="W10" s="57">
        <f ca="1">SUMIFS(logs!$V:$V,logs!$M:$M,'p&amp;l'!$Q10&amp;'p&amp;l'!W$3,logs!$A:$A,"&gt;"&amp;assumptions!$C$2)</f>
        <v>0</v>
      </c>
      <c r="X10" s="57">
        <f ca="1">SUMIFS(logs!$V:$V,logs!$M:$M,'p&amp;l'!$Q10&amp;'p&amp;l'!X$3,logs!$A:$A,"&gt;"&amp;assumptions!$C$2)</f>
        <v>0</v>
      </c>
      <c r="Y10" s="57">
        <f ca="1">SUMIFS(logs!$V:$V,logs!$M:$M,'p&amp;l'!$Q10&amp;'p&amp;l'!Y$3,logs!$A:$A,"&gt;"&amp;assumptions!$C$2)</f>
        <v>0</v>
      </c>
      <c r="Z10" s="57">
        <f ca="1">SUMIFS(logs!$V:$V,logs!$M:$M,'p&amp;l'!$Q10&amp;'p&amp;l'!Z$3,logs!$A:$A,"&gt;"&amp;assumptions!$C$2)</f>
        <v>0</v>
      </c>
      <c r="AA10" s="57">
        <f ca="1">SUMIFS(logs!$V:$V,logs!$M:$M,'p&amp;l'!$Q10&amp;'p&amp;l'!AA$3,logs!$A:$A,"&gt;"&amp;assumptions!$C$2)</f>
        <v>0</v>
      </c>
      <c r="AB10" s="57">
        <f ca="1">SUMIFS(logs!$V:$V,logs!$M:$M,'p&amp;l'!$Q10&amp;'p&amp;l'!AB$3,logs!$A:$A,"&gt;"&amp;assumptions!$C$2)</f>
        <v>0</v>
      </c>
      <c r="AC10" s="57">
        <f ca="1">SUMIFS(logs!$V:$V,logs!$M:$M,'p&amp;l'!$Q10&amp;'p&amp;l'!AC$3,logs!$A:$A,"&gt;"&amp;assumptions!$C$2)</f>
        <v>0</v>
      </c>
      <c r="AD10" s="57">
        <f ca="1">SUMIFS(logs!$V:$V,logs!$M:$M,'p&amp;l'!$Q10&amp;'p&amp;l'!AD$3,logs!$A:$A,"&gt;"&amp;assumptions!$C$2)</f>
        <v>0</v>
      </c>
      <c r="AE10" s="58">
        <f t="shared" ca="1" si="1"/>
        <v>0</v>
      </c>
      <c r="AG10" s="44" t="s">
        <v>178</v>
      </c>
      <c r="AH10" s="57">
        <f>-SUMIF(logs!$M:$M,'p&amp;l'!$AG10&amp;'p&amp;l'!AH$3,logs!$R:$R)</f>
        <v>0</v>
      </c>
      <c r="AI10" s="57">
        <f>-SUMIF(logs!$M:$M,'p&amp;l'!$AG10&amp;'p&amp;l'!AI$3,logs!$R:$R)</f>
        <v>0</v>
      </c>
      <c r="AJ10" s="57">
        <f>-SUMIF(logs!$M:$M,'p&amp;l'!$AG10&amp;'p&amp;l'!AJ$3,logs!$R:$R)</f>
        <v>-30.829815308853089</v>
      </c>
      <c r="AK10" s="57">
        <f>-SUMIF(logs!$M:$M,'p&amp;l'!$AG10&amp;'p&amp;l'!AK$3,logs!$R:$R)</f>
        <v>0</v>
      </c>
      <c r="AL10" s="57">
        <f>-SUMIF(logs!$M:$M,'p&amp;l'!$AG10&amp;'p&amp;l'!AL$3,logs!$R:$R)</f>
        <v>0</v>
      </c>
      <c r="AM10" s="57">
        <f>-SUMIF(logs!$M:$M,'p&amp;l'!$AG10&amp;'p&amp;l'!AM$3,logs!$R:$R)</f>
        <v>0</v>
      </c>
      <c r="AN10" s="57">
        <f>-SUMIF(logs!$M:$M,'p&amp;l'!$AG10&amp;'p&amp;l'!AN$3,logs!$R:$R)</f>
        <v>-30.829815308853089</v>
      </c>
      <c r="AO10" s="57">
        <f>-SUMIF(logs!$M:$M,'p&amp;l'!$AG10&amp;'p&amp;l'!AO$3,logs!$R:$R)</f>
        <v>0</v>
      </c>
      <c r="AP10" s="57">
        <f>-SUMIF(logs!$M:$M,'p&amp;l'!$AG10&amp;'p&amp;l'!AP$3,logs!$R:$R)</f>
        <v>0</v>
      </c>
      <c r="AQ10" s="57">
        <f>-SUMIF(logs!$M:$M,'p&amp;l'!$AG10&amp;'p&amp;l'!AQ$3,logs!$R:$R)</f>
        <v>0</v>
      </c>
      <c r="AR10" s="57">
        <f>-SUMIF(logs!$M:$M,'p&amp;l'!$AG10&amp;'p&amp;l'!AR$3,logs!$R:$R)</f>
        <v>0</v>
      </c>
      <c r="AS10" s="57">
        <f>-SUMIF(logs!$M:$M,'p&amp;l'!$AG10&amp;'p&amp;l'!AS$3,logs!$R:$R)</f>
        <v>0</v>
      </c>
      <c r="AT10" s="57">
        <f>-SUMIF(logs!$M:$M,'p&amp;l'!$AG10&amp;'p&amp;l'!AT$3,logs!$R:$R)</f>
        <v>0</v>
      </c>
      <c r="AU10" s="58">
        <f t="shared" si="2"/>
        <v>-61.659630617706178</v>
      </c>
    </row>
    <row r="11" spans="1:47" x14ac:dyDescent="0.35">
      <c r="A11" s="45" t="s">
        <v>25</v>
      </c>
      <c r="B11" s="59">
        <f>SUMIF(logs!$M:$M,'p&amp;l'!$A11&amp;'p&amp;l'!B$3,logs!$V:$V)+AH11</f>
        <v>0</v>
      </c>
      <c r="C11" s="59">
        <f>SUMIF(logs!$M:$M,'p&amp;l'!$A11&amp;'p&amp;l'!C$3,logs!$V:$V)+AI11</f>
        <v>0</v>
      </c>
      <c r="D11" s="59">
        <f>SUMIF(logs!$M:$M,'p&amp;l'!$A11&amp;'p&amp;l'!D$3,logs!$V:$V)+AJ11</f>
        <v>0</v>
      </c>
      <c r="E11" s="59">
        <f>SUMIF(logs!$M:$M,'p&amp;l'!$A11&amp;'p&amp;l'!E$3,logs!$V:$V)+AK11</f>
        <v>0</v>
      </c>
      <c r="F11" s="59">
        <f>SUMIF(logs!$M:$M,'p&amp;l'!$A11&amp;'p&amp;l'!F$3,logs!$V:$V)+AL11</f>
        <v>0</v>
      </c>
      <c r="G11" s="59">
        <f>SUMIF(logs!$M:$M,'p&amp;l'!$A11&amp;'p&amp;l'!G$3,logs!$V:$V)+AM11</f>
        <v>0</v>
      </c>
      <c r="H11" s="59">
        <f>SUMIF(logs!$M:$M,'p&amp;l'!$A11&amp;'p&amp;l'!H$3,logs!$V:$V)+AN11</f>
        <v>0</v>
      </c>
      <c r="I11" s="59">
        <f>SUMIF(logs!$M:$M,'p&amp;l'!$A11&amp;'p&amp;l'!I$3,logs!$V:$V)+AO11</f>
        <v>0</v>
      </c>
      <c r="J11" s="59">
        <f>SUMIF(logs!$M:$M,'p&amp;l'!$A11&amp;'p&amp;l'!J$3,logs!$V:$V)+AP11</f>
        <v>0</v>
      </c>
      <c r="K11" s="59">
        <f>SUMIF(logs!$M:$M,'p&amp;l'!$A11&amp;'p&amp;l'!K$3,logs!$V:$V)+AQ11</f>
        <v>-831.15999999999985</v>
      </c>
      <c r="L11" s="59">
        <f>SUMIF(logs!$M:$M,'p&amp;l'!$A11&amp;'p&amp;l'!L$3,logs!$V:$V)+AR11</f>
        <v>0</v>
      </c>
      <c r="M11" s="59">
        <f>SUMIF(logs!$M:$M,'p&amp;l'!$A11&amp;'p&amp;l'!M$3,logs!$V:$V)+AS11</f>
        <v>0</v>
      </c>
      <c r="N11" s="59">
        <f>SUMIF(logs!$M:$M,'p&amp;l'!$A11&amp;'p&amp;l'!N$3,logs!$V:$V)+AT11</f>
        <v>0</v>
      </c>
      <c r="O11" s="60">
        <f t="shared" si="0"/>
        <v>-831.15999999999985</v>
      </c>
      <c r="Q11" s="45" t="s">
        <v>25</v>
      </c>
      <c r="R11" s="59">
        <f ca="1">SUMIFS(logs!$V:$V,logs!$M:$M,'p&amp;l'!$Q11&amp;'p&amp;l'!R$3,logs!$A:$A,"&gt;"&amp;assumptions!$C$2)</f>
        <v>0</v>
      </c>
      <c r="S11" s="59">
        <f ca="1">SUMIFS(logs!$V:$V,logs!$M:$M,'p&amp;l'!$Q11&amp;'p&amp;l'!S$3,logs!$A:$A,"&gt;"&amp;assumptions!$C$2)</f>
        <v>0</v>
      </c>
      <c r="T11" s="59">
        <f ca="1">SUMIFS(logs!$V:$V,logs!$M:$M,'p&amp;l'!$Q11&amp;'p&amp;l'!T$3,logs!$A:$A,"&gt;"&amp;assumptions!$C$2)</f>
        <v>0</v>
      </c>
      <c r="U11" s="59">
        <f ca="1">SUMIFS(logs!$V:$V,logs!$M:$M,'p&amp;l'!$Q11&amp;'p&amp;l'!U$3,logs!$A:$A,"&gt;"&amp;assumptions!$C$2)</f>
        <v>0</v>
      </c>
      <c r="V11" s="59">
        <f ca="1">SUMIFS(logs!$V:$V,logs!$M:$M,'p&amp;l'!$Q11&amp;'p&amp;l'!V$3,logs!$A:$A,"&gt;"&amp;assumptions!$C$2)</f>
        <v>0</v>
      </c>
      <c r="W11" s="59">
        <f ca="1">SUMIFS(logs!$V:$V,logs!$M:$M,'p&amp;l'!$Q11&amp;'p&amp;l'!W$3,logs!$A:$A,"&gt;"&amp;assumptions!$C$2)</f>
        <v>0</v>
      </c>
      <c r="X11" s="59">
        <f ca="1">SUMIFS(logs!$V:$V,logs!$M:$M,'p&amp;l'!$Q11&amp;'p&amp;l'!X$3,logs!$A:$A,"&gt;"&amp;assumptions!$C$2)</f>
        <v>0</v>
      </c>
      <c r="Y11" s="59">
        <f ca="1">SUMIFS(logs!$V:$V,logs!$M:$M,'p&amp;l'!$Q11&amp;'p&amp;l'!Y$3,logs!$A:$A,"&gt;"&amp;assumptions!$C$2)</f>
        <v>0</v>
      </c>
      <c r="Z11" s="59">
        <f ca="1">SUMIFS(logs!$V:$V,logs!$M:$M,'p&amp;l'!$Q11&amp;'p&amp;l'!Z$3,logs!$A:$A,"&gt;"&amp;assumptions!$C$2)</f>
        <v>0</v>
      </c>
      <c r="AA11" s="59">
        <f ca="1">SUMIFS(logs!$V:$V,logs!$M:$M,'p&amp;l'!$Q11&amp;'p&amp;l'!AA$3,logs!$A:$A,"&gt;"&amp;assumptions!$C$2)</f>
        <v>0</v>
      </c>
      <c r="AB11" s="59">
        <f ca="1">SUMIFS(logs!$V:$V,logs!$M:$M,'p&amp;l'!$Q11&amp;'p&amp;l'!AB$3,logs!$A:$A,"&gt;"&amp;assumptions!$C$2)</f>
        <v>0</v>
      </c>
      <c r="AC11" s="59">
        <f ca="1">SUMIFS(logs!$V:$V,logs!$M:$M,'p&amp;l'!$Q11&amp;'p&amp;l'!AC$3,logs!$A:$A,"&gt;"&amp;assumptions!$C$2)</f>
        <v>0</v>
      </c>
      <c r="AD11" s="59">
        <f ca="1">SUMIFS(logs!$V:$V,logs!$M:$M,'p&amp;l'!$Q11&amp;'p&amp;l'!AD$3,logs!$A:$A,"&gt;"&amp;assumptions!$C$2)</f>
        <v>0</v>
      </c>
      <c r="AE11" s="60">
        <f t="shared" ca="1" si="1"/>
        <v>0</v>
      </c>
      <c r="AG11" s="45" t="s">
        <v>25</v>
      </c>
      <c r="AH11" s="59">
        <f>-SUMIF(logs!$M:$M,'p&amp;l'!$AG11&amp;'p&amp;l'!AH$3,logs!$R:$R)</f>
        <v>0</v>
      </c>
      <c r="AI11" s="59">
        <f>-SUMIF(logs!$M:$M,'p&amp;l'!$AG11&amp;'p&amp;l'!AI$3,logs!$R:$R)</f>
        <v>0</v>
      </c>
      <c r="AJ11" s="59">
        <f>-SUMIF(logs!$M:$M,'p&amp;l'!$AG11&amp;'p&amp;l'!AJ$3,logs!$R:$R)</f>
        <v>0</v>
      </c>
      <c r="AK11" s="59">
        <f>-SUMIF(logs!$M:$M,'p&amp;l'!$AG11&amp;'p&amp;l'!AK$3,logs!$R:$R)</f>
        <v>0</v>
      </c>
      <c r="AL11" s="59">
        <f>-SUMIF(logs!$M:$M,'p&amp;l'!$AG11&amp;'p&amp;l'!AL$3,logs!$R:$R)</f>
        <v>0</v>
      </c>
      <c r="AM11" s="59">
        <f>-SUMIF(logs!$M:$M,'p&amp;l'!$AG11&amp;'p&amp;l'!AM$3,logs!$R:$R)</f>
        <v>0</v>
      </c>
      <c r="AN11" s="59">
        <f>-SUMIF(logs!$M:$M,'p&amp;l'!$AG11&amp;'p&amp;l'!AN$3,logs!$R:$R)</f>
        <v>0</v>
      </c>
      <c r="AO11" s="59">
        <f>-SUMIF(logs!$M:$M,'p&amp;l'!$AG11&amp;'p&amp;l'!AO$3,logs!$R:$R)</f>
        <v>0</v>
      </c>
      <c r="AP11" s="59">
        <f>-SUMIF(logs!$M:$M,'p&amp;l'!$AG11&amp;'p&amp;l'!AP$3,logs!$R:$R)</f>
        <v>0</v>
      </c>
      <c r="AQ11" s="59">
        <f>-SUMIF(logs!$M:$M,'p&amp;l'!$AG11&amp;'p&amp;l'!AQ$3,logs!$R:$R)</f>
        <v>-17.16</v>
      </c>
      <c r="AR11" s="59">
        <f>-SUMIF(logs!$M:$M,'p&amp;l'!$AG11&amp;'p&amp;l'!AR$3,logs!$R:$R)</f>
        <v>0</v>
      </c>
      <c r="AS11" s="59">
        <f>-SUMIF(logs!$M:$M,'p&amp;l'!$AG11&amp;'p&amp;l'!AS$3,logs!$R:$R)</f>
        <v>0</v>
      </c>
      <c r="AT11" s="59">
        <f>-SUMIF(logs!$M:$M,'p&amp;l'!$AG11&amp;'p&amp;l'!AT$3,logs!$R:$R)</f>
        <v>0</v>
      </c>
      <c r="AU11" s="60">
        <f t="shared" si="2"/>
        <v>-17.16</v>
      </c>
    </row>
    <row r="12" spans="1:47" x14ac:dyDescent="0.35">
      <c r="A12" s="56" t="s">
        <v>101</v>
      </c>
      <c r="B12" s="61">
        <f>SUMIF(logs!$M:$M,'p&amp;l'!$A12&amp;'p&amp;l'!B$3,logs!$V:$V)+AH12</f>
        <v>0</v>
      </c>
      <c r="C12" s="61">
        <f>SUMIF(logs!$M:$M,'p&amp;l'!$A12&amp;'p&amp;l'!C$3,logs!$V:$V)+AI12</f>
        <v>0</v>
      </c>
      <c r="D12" s="61">
        <f>SUMIF(logs!$M:$M,'p&amp;l'!$A12&amp;'p&amp;l'!D$3,logs!$V:$V)+AJ12</f>
        <v>0</v>
      </c>
      <c r="E12" s="61">
        <f>SUMIF(logs!$M:$M,'p&amp;l'!$A12&amp;'p&amp;l'!E$3,logs!$V:$V)+AK12</f>
        <v>0</v>
      </c>
      <c r="F12" s="61">
        <f>SUMIF(logs!$M:$M,'p&amp;l'!$A12&amp;'p&amp;l'!F$3,logs!$V:$V)+AL12</f>
        <v>0</v>
      </c>
      <c r="G12" s="61">
        <f>SUMIF(logs!$M:$M,'p&amp;l'!$A12&amp;'p&amp;l'!G$3,logs!$V:$V)+AM12</f>
        <v>0</v>
      </c>
      <c r="H12" s="61">
        <f>SUMIF(logs!$M:$M,'p&amp;l'!$A12&amp;'p&amp;l'!H$3,logs!$V:$V)+AN12</f>
        <v>0</v>
      </c>
      <c r="I12" s="61">
        <f>SUMIF(logs!$M:$M,'p&amp;l'!$A12&amp;'p&amp;l'!I$3,logs!$V:$V)+AO12</f>
        <v>0</v>
      </c>
      <c r="J12" s="61">
        <f>SUMIF(logs!$M:$M,'p&amp;l'!$A12&amp;'p&amp;l'!J$3,logs!$V:$V)+AP12</f>
        <v>0</v>
      </c>
      <c r="K12" s="61">
        <f>SUMIF(logs!$M:$M,'p&amp;l'!$A12&amp;'p&amp;l'!K$3,logs!$V:$V)+AQ12</f>
        <v>0</v>
      </c>
      <c r="L12" s="61">
        <f>SUMIF(logs!$M:$M,'p&amp;l'!$A12&amp;'p&amp;l'!L$3,logs!$V:$V)+AR12</f>
        <v>0</v>
      </c>
      <c r="M12" s="61">
        <f>SUMIF(logs!$M:$M,'p&amp;l'!$A12&amp;'p&amp;l'!M$3,logs!$V:$V)+AS12</f>
        <v>0</v>
      </c>
      <c r="N12" s="61">
        <f>SUMIF(logs!$M:$M,'p&amp;l'!$A12&amp;'p&amp;l'!N$3,logs!$V:$V)+AT12</f>
        <v>0</v>
      </c>
      <c r="O12" s="62">
        <f t="shared" si="0"/>
        <v>0</v>
      </c>
      <c r="Q12" s="56" t="s">
        <v>101</v>
      </c>
      <c r="R12" s="61">
        <f ca="1">SUMIFS(logs!$V:$V,logs!$M:$M,'p&amp;l'!$Q12&amp;'p&amp;l'!R$3,logs!$A:$A,"&gt;"&amp;assumptions!$C$2)</f>
        <v>0</v>
      </c>
      <c r="S12" s="61">
        <f ca="1">SUMIFS(logs!$V:$V,logs!$M:$M,'p&amp;l'!$Q12&amp;'p&amp;l'!S$3,logs!$A:$A,"&gt;"&amp;assumptions!$C$2)</f>
        <v>0</v>
      </c>
      <c r="T12" s="61">
        <f ca="1">SUMIFS(logs!$V:$V,logs!$M:$M,'p&amp;l'!$Q12&amp;'p&amp;l'!T$3,logs!$A:$A,"&gt;"&amp;assumptions!$C$2)</f>
        <v>0</v>
      </c>
      <c r="U12" s="61">
        <f ca="1">SUMIFS(logs!$V:$V,logs!$M:$M,'p&amp;l'!$Q12&amp;'p&amp;l'!U$3,logs!$A:$A,"&gt;"&amp;assumptions!$C$2)</f>
        <v>0</v>
      </c>
      <c r="V12" s="61">
        <f ca="1">SUMIFS(logs!$V:$V,logs!$M:$M,'p&amp;l'!$Q12&amp;'p&amp;l'!V$3,logs!$A:$A,"&gt;"&amp;assumptions!$C$2)</f>
        <v>0</v>
      </c>
      <c r="W12" s="61">
        <f ca="1">SUMIFS(logs!$V:$V,logs!$M:$M,'p&amp;l'!$Q12&amp;'p&amp;l'!W$3,logs!$A:$A,"&gt;"&amp;assumptions!$C$2)</f>
        <v>0</v>
      </c>
      <c r="X12" s="61">
        <f ca="1">SUMIFS(logs!$V:$V,logs!$M:$M,'p&amp;l'!$Q12&amp;'p&amp;l'!X$3,logs!$A:$A,"&gt;"&amp;assumptions!$C$2)</f>
        <v>0</v>
      </c>
      <c r="Y12" s="61">
        <f ca="1">SUMIFS(logs!$V:$V,logs!$M:$M,'p&amp;l'!$Q12&amp;'p&amp;l'!Y$3,logs!$A:$A,"&gt;"&amp;assumptions!$C$2)</f>
        <v>0</v>
      </c>
      <c r="Z12" s="61">
        <f ca="1">SUMIFS(logs!$V:$V,logs!$M:$M,'p&amp;l'!$Q12&amp;'p&amp;l'!Z$3,logs!$A:$A,"&gt;"&amp;assumptions!$C$2)</f>
        <v>0</v>
      </c>
      <c r="AA12" s="61">
        <f ca="1">SUMIFS(logs!$V:$V,logs!$M:$M,'p&amp;l'!$Q12&amp;'p&amp;l'!AA$3,logs!$A:$A,"&gt;"&amp;assumptions!$C$2)</f>
        <v>0</v>
      </c>
      <c r="AB12" s="61">
        <f ca="1">SUMIFS(logs!$V:$V,logs!$M:$M,'p&amp;l'!$Q12&amp;'p&amp;l'!AB$3,logs!$A:$A,"&gt;"&amp;assumptions!$C$2)</f>
        <v>0</v>
      </c>
      <c r="AC12" s="61">
        <f ca="1">SUMIFS(logs!$V:$V,logs!$M:$M,'p&amp;l'!$Q12&amp;'p&amp;l'!AC$3,logs!$A:$A,"&gt;"&amp;assumptions!$C$2)</f>
        <v>0</v>
      </c>
      <c r="AD12" s="61">
        <f ca="1">SUMIFS(logs!$V:$V,logs!$M:$M,'p&amp;l'!$Q12&amp;'p&amp;l'!AD$3,logs!$A:$A,"&gt;"&amp;assumptions!$C$2)</f>
        <v>0</v>
      </c>
      <c r="AE12" s="62">
        <f t="shared" ca="1" si="1"/>
        <v>0</v>
      </c>
      <c r="AG12" s="56" t="s">
        <v>101</v>
      </c>
      <c r="AH12" s="61">
        <f>-SUMIF(logs!$M:$M,'p&amp;l'!$AG12&amp;'p&amp;l'!AH$3,logs!$R:$R)</f>
        <v>0</v>
      </c>
      <c r="AI12" s="61">
        <f>-SUMIF(logs!$M:$M,'p&amp;l'!$AG12&amp;'p&amp;l'!AI$3,logs!$R:$R)</f>
        <v>0</v>
      </c>
      <c r="AJ12" s="61">
        <f>-SUMIF(logs!$M:$M,'p&amp;l'!$AG12&amp;'p&amp;l'!AJ$3,logs!$R:$R)</f>
        <v>0</v>
      </c>
      <c r="AK12" s="61">
        <f>-SUMIF(logs!$M:$M,'p&amp;l'!$AG12&amp;'p&amp;l'!AK$3,logs!$R:$R)</f>
        <v>0</v>
      </c>
      <c r="AL12" s="61">
        <f>-SUMIF(logs!$M:$M,'p&amp;l'!$AG12&amp;'p&amp;l'!AL$3,logs!$R:$R)</f>
        <v>0</v>
      </c>
      <c r="AM12" s="61">
        <f>-SUMIF(logs!$M:$M,'p&amp;l'!$AG12&amp;'p&amp;l'!AM$3,logs!$R:$R)</f>
        <v>0</v>
      </c>
      <c r="AN12" s="61">
        <f>-SUMIF(logs!$M:$M,'p&amp;l'!$AG12&amp;'p&amp;l'!AN$3,logs!$R:$R)</f>
        <v>0</v>
      </c>
      <c r="AO12" s="61">
        <f>-SUMIF(logs!$M:$M,'p&amp;l'!$AG12&amp;'p&amp;l'!AO$3,logs!$R:$R)</f>
        <v>0</v>
      </c>
      <c r="AP12" s="61">
        <f>-SUMIF(logs!$M:$M,'p&amp;l'!$AG12&amp;'p&amp;l'!AP$3,logs!$R:$R)</f>
        <v>0</v>
      </c>
      <c r="AQ12" s="61">
        <f>-SUMIF(logs!$M:$M,'p&amp;l'!$AG12&amp;'p&amp;l'!AQ$3,logs!$R:$R)</f>
        <v>0</v>
      </c>
      <c r="AR12" s="61">
        <f>-SUMIF(logs!$M:$M,'p&amp;l'!$AG12&amp;'p&amp;l'!AR$3,logs!$R:$R)</f>
        <v>0</v>
      </c>
      <c r="AS12" s="61">
        <f>-SUMIF(logs!$M:$M,'p&amp;l'!$AG12&amp;'p&amp;l'!AS$3,logs!$R:$R)</f>
        <v>0</v>
      </c>
      <c r="AT12" s="61">
        <f>-SUMIF(logs!$M:$M,'p&amp;l'!$AG12&amp;'p&amp;l'!AT$3,logs!$R:$R)</f>
        <v>0</v>
      </c>
      <c r="AU12" s="62">
        <f t="shared" si="2"/>
        <v>0</v>
      </c>
    </row>
    <row r="13" spans="1:47" x14ac:dyDescent="0.35">
      <c r="A13" s="44" t="s">
        <v>163</v>
      </c>
      <c r="B13" s="57">
        <f>SUMIF(logs!$M:$M,'p&amp;l'!$A13&amp;'p&amp;l'!B$3,logs!$V:$V)+AH13</f>
        <v>0</v>
      </c>
      <c r="C13" s="57">
        <f>SUMIF(logs!$M:$M,'p&amp;l'!$A13&amp;'p&amp;l'!C$3,logs!$V:$V)+AI13</f>
        <v>0</v>
      </c>
      <c r="D13" s="57">
        <f>SUMIF(logs!$M:$M,'p&amp;l'!$A13&amp;'p&amp;l'!D$3,logs!$V:$V)+AJ13</f>
        <v>0</v>
      </c>
      <c r="E13" s="57">
        <f>SUMIF(logs!$M:$M,'p&amp;l'!$A13&amp;'p&amp;l'!E$3,logs!$V:$V)+AK13</f>
        <v>0</v>
      </c>
      <c r="F13" s="57">
        <f>SUMIF(logs!$M:$M,'p&amp;l'!$A13&amp;'p&amp;l'!F$3,logs!$V:$V)+AL13</f>
        <v>0</v>
      </c>
      <c r="G13" s="57">
        <f>SUMIF(logs!$M:$M,'p&amp;l'!$A13&amp;'p&amp;l'!G$3,logs!$V:$V)+AM13</f>
        <v>0</v>
      </c>
      <c r="H13" s="57">
        <f>SUMIF(logs!$M:$M,'p&amp;l'!$A13&amp;'p&amp;l'!H$3,logs!$V:$V)+AN13</f>
        <v>0</v>
      </c>
      <c r="I13" s="57">
        <f>SUMIF(logs!$M:$M,'p&amp;l'!$A13&amp;'p&amp;l'!I$3,logs!$V:$V)+AO13</f>
        <v>0</v>
      </c>
      <c r="J13" s="57">
        <f>SUMIF(logs!$M:$M,'p&amp;l'!$A13&amp;'p&amp;l'!J$3,logs!$V:$V)+AP13</f>
        <v>0</v>
      </c>
      <c r="K13" s="57">
        <f>SUMIF(logs!$M:$M,'p&amp;l'!$A13&amp;'p&amp;l'!K$3,logs!$V:$V)+AQ13</f>
        <v>0</v>
      </c>
      <c r="L13" s="57">
        <f>SUMIF(logs!$M:$M,'p&amp;l'!$A13&amp;'p&amp;l'!L$3,logs!$V:$V)+AR13</f>
        <v>0</v>
      </c>
      <c r="M13" s="57">
        <f>SUMIF(logs!$M:$M,'p&amp;l'!$A13&amp;'p&amp;l'!M$3,logs!$V:$V)+AS13</f>
        <v>0</v>
      </c>
      <c r="N13" s="57">
        <f>SUMIF(logs!$M:$M,'p&amp;l'!$A13&amp;'p&amp;l'!N$3,logs!$V:$V)+AT13</f>
        <v>0</v>
      </c>
      <c r="O13" s="58">
        <f t="shared" si="0"/>
        <v>0</v>
      </c>
      <c r="Q13" s="44" t="s">
        <v>163</v>
      </c>
      <c r="R13" s="57">
        <f ca="1">SUMIFS(logs!$V:$V,logs!$M:$M,'p&amp;l'!$Q13&amp;'p&amp;l'!R$3,logs!$A:$A,"&gt;"&amp;assumptions!$C$2)</f>
        <v>0</v>
      </c>
      <c r="S13" s="57">
        <f ca="1">SUMIFS(logs!$V:$V,logs!$M:$M,'p&amp;l'!$Q13&amp;'p&amp;l'!S$3,logs!$A:$A,"&gt;"&amp;assumptions!$C$2)</f>
        <v>0</v>
      </c>
      <c r="T13" s="57">
        <f ca="1">SUMIFS(logs!$V:$V,logs!$M:$M,'p&amp;l'!$Q13&amp;'p&amp;l'!T$3,logs!$A:$A,"&gt;"&amp;assumptions!$C$2)</f>
        <v>0</v>
      </c>
      <c r="U13" s="57">
        <f ca="1">SUMIFS(logs!$V:$V,logs!$M:$M,'p&amp;l'!$Q13&amp;'p&amp;l'!U$3,logs!$A:$A,"&gt;"&amp;assumptions!$C$2)</f>
        <v>0</v>
      </c>
      <c r="V13" s="57">
        <f ca="1">SUMIFS(logs!$V:$V,logs!$M:$M,'p&amp;l'!$Q13&amp;'p&amp;l'!V$3,logs!$A:$A,"&gt;"&amp;assumptions!$C$2)</f>
        <v>0</v>
      </c>
      <c r="W13" s="57">
        <f ca="1">SUMIFS(logs!$V:$V,logs!$M:$M,'p&amp;l'!$Q13&amp;'p&amp;l'!W$3,logs!$A:$A,"&gt;"&amp;assumptions!$C$2)</f>
        <v>0</v>
      </c>
      <c r="X13" s="57">
        <f ca="1">SUMIFS(logs!$V:$V,logs!$M:$M,'p&amp;l'!$Q13&amp;'p&amp;l'!X$3,logs!$A:$A,"&gt;"&amp;assumptions!$C$2)</f>
        <v>0</v>
      </c>
      <c r="Y13" s="57">
        <f ca="1">SUMIFS(logs!$V:$V,logs!$M:$M,'p&amp;l'!$Q13&amp;'p&amp;l'!Y$3,logs!$A:$A,"&gt;"&amp;assumptions!$C$2)</f>
        <v>0</v>
      </c>
      <c r="Z13" s="57">
        <f ca="1">SUMIFS(logs!$V:$V,logs!$M:$M,'p&amp;l'!$Q13&amp;'p&amp;l'!Z$3,logs!$A:$A,"&gt;"&amp;assumptions!$C$2)</f>
        <v>0</v>
      </c>
      <c r="AA13" s="57">
        <f ca="1">SUMIFS(logs!$V:$V,logs!$M:$M,'p&amp;l'!$Q13&amp;'p&amp;l'!AA$3,logs!$A:$A,"&gt;"&amp;assumptions!$C$2)</f>
        <v>0</v>
      </c>
      <c r="AB13" s="57">
        <f ca="1">SUMIFS(logs!$V:$V,logs!$M:$M,'p&amp;l'!$Q13&amp;'p&amp;l'!AB$3,logs!$A:$A,"&gt;"&amp;assumptions!$C$2)</f>
        <v>0</v>
      </c>
      <c r="AC13" s="57">
        <f ca="1">SUMIFS(logs!$V:$V,logs!$M:$M,'p&amp;l'!$Q13&amp;'p&amp;l'!AC$3,logs!$A:$A,"&gt;"&amp;assumptions!$C$2)</f>
        <v>0</v>
      </c>
      <c r="AD13" s="57">
        <f ca="1">SUMIFS(logs!$V:$V,logs!$M:$M,'p&amp;l'!$Q13&amp;'p&amp;l'!AD$3,logs!$A:$A,"&gt;"&amp;assumptions!$C$2)</f>
        <v>0</v>
      </c>
      <c r="AE13" s="58">
        <f t="shared" ca="1" si="1"/>
        <v>0</v>
      </c>
      <c r="AG13" s="44" t="s">
        <v>163</v>
      </c>
      <c r="AH13" s="57">
        <f>-SUMIF(logs!$M:$M,'p&amp;l'!$AG13&amp;'p&amp;l'!AH$3,logs!$R:$R)</f>
        <v>0</v>
      </c>
      <c r="AI13" s="57">
        <f>-SUMIF(logs!$M:$M,'p&amp;l'!$AG13&amp;'p&amp;l'!AI$3,logs!$R:$R)</f>
        <v>0</v>
      </c>
      <c r="AJ13" s="57">
        <f>-SUMIF(logs!$M:$M,'p&amp;l'!$AG13&amp;'p&amp;l'!AJ$3,logs!$R:$R)</f>
        <v>0</v>
      </c>
      <c r="AK13" s="57">
        <f>-SUMIF(logs!$M:$M,'p&amp;l'!$AG13&amp;'p&amp;l'!AK$3,logs!$R:$R)</f>
        <v>0</v>
      </c>
      <c r="AL13" s="57">
        <f>-SUMIF(logs!$M:$M,'p&amp;l'!$AG13&amp;'p&amp;l'!AL$3,logs!$R:$R)</f>
        <v>0</v>
      </c>
      <c r="AM13" s="57">
        <f>-SUMIF(logs!$M:$M,'p&amp;l'!$AG13&amp;'p&amp;l'!AM$3,logs!$R:$R)</f>
        <v>0</v>
      </c>
      <c r="AN13" s="57">
        <f>-SUMIF(logs!$M:$M,'p&amp;l'!$AG13&amp;'p&amp;l'!AN$3,logs!$R:$R)</f>
        <v>0</v>
      </c>
      <c r="AO13" s="57">
        <f>-SUMIF(logs!$M:$M,'p&amp;l'!$AG13&amp;'p&amp;l'!AO$3,logs!$R:$R)</f>
        <v>0</v>
      </c>
      <c r="AP13" s="57">
        <f>-SUMIF(logs!$M:$M,'p&amp;l'!$AG13&amp;'p&amp;l'!AP$3,logs!$R:$R)</f>
        <v>0</v>
      </c>
      <c r="AQ13" s="57">
        <f>-SUMIF(logs!$M:$M,'p&amp;l'!$AG13&amp;'p&amp;l'!AQ$3,logs!$R:$R)</f>
        <v>0</v>
      </c>
      <c r="AR13" s="57">
        <f>-SUMIF(logs!$M:$M,'p&amp;l'!$AG13&amp;'p&amp;l'!AR$3,logs!$R:$R)</f>
        <v>0</v>
      </c>
      <c r="AS13" s="57">
        <f>-SUMIF(logs!$M:$M,'p&amp;l'!$AG13&amp;'p&amp;l'!AS$3,logs!$R:$R)</f>
        <v>0</v>
      </c>
      <c r="AT13" s="57">
        <f>-SUMIF(logs!$M:$M,'p&amp;l'!$AG13&amp;'p&amp;l'!AT$3,logs!$R:$R)</f>
        <v>0</v>
      </c>
      <c r="AU13" s="58">
        <f t="shared" si="2"/>
        <v>0</v>
      </c>
    </row>
    <row r="14" spans="1:47" x14ac:dyDescent="0.35">
      <c r="A14" s="44" t="s">
        <v>30</v>
      </c>
      <c r="B14" s="57">
        <f>SUMIF(logs!$M:$M,'p&amp;l'!$A14&amp;'p&amp;l'!B$3,logs!$V:$V)+AH14</f>
        <v>0</v>
      </c>
      <c r="C14" s="57">
        <f>SUMIF(logs!$M:$M,'p&amp;l'!$A14&amp;'p&amp;l'!C$3,logs!$V:$V)+AI14</f>
        <v>0</v>
      </c>
      <c r="D14" s="57">
        <f>SUMIF(logs!$M:$M,'p&amp;l'!$A14&amp;'p&amp;l'!D$3,logs!$V:$V)+AJ14</f>
        <v>0</v>
      </c>
      <c r="E14" s="57">
        <f>SUMIF(logs!$M:$M,'p&amp;l'!$A14&amp;'p&amp;l'!E$3,logs!$V:$V)+AK14</f>
        <v>0</v>
      </c>
      <c r="F14" s="57">
        <f>SUMIF(logs!$M:$M,'p&amp;l'!$A14&amp;'p&amp;l'!F$3,logs!$V:$V)+AL14</f>
        <v>14771.140000000141</v>
      </c>
      <c r="G14" s="57">
        <f>SUMIF(logs!$M:$M,'p&amp;l'!$A14&amp;'p&amp;l'!G$3,logs!$V:$V)+AM14</f>
        <v>0</v>
      </c>
      <c r="H14" s="57">
        <f>SUMIF(logs!$M:$M,'p&amp;l'!$A14&amp;'p&amp;l'!H$3,logs!$V:$V)+AN14</f>
        <v>0</v>
      </c>
      <c r="I14" s="57">
        <f>SUMIF(logs!$M:$M,'p&amp;l'!$A14&amp;'p&amp;l'!I$3,logs!$V:$V)+AO14</f>
        <v>0</v>
      </c>
      <c r="J14" s="57">
        <f>SUMIF(logs!$M:$M,'p&amp;l'!$A14&amp;'p&amp;l'!J$3,logs!$V:$V)+AP14</f>
        <v>28455.539999999986</v>
      </c>
      <c r="K14" s="57">
        <f>SUMIF(logs!$M:$M,'p&amp;l'!$A14&amp;'p&amp;l'!K$3,logs!$V:$V)+AQ14</f>
        <v>0</v>
      </c>
      <c r="L14" s="57">
        <f>SUMIF(logs!$M:$M,'p&amp;l'!$A14&amp;'p&amp;l'!L$3,logs!$V:$V)+AR14</f>
        <v>0</v>
      </c>
      <c r="M14" s="57">
        <f>SUMIF(logs!$M:$M,'p&amp;l'!$A14&amp;'p&amp;l'!M$3,logs!$V:$V)+AS14</f>
        <v>0</v>
      </c>
      <c r="N14" s="57">
        <f>SUMIF(logs!$M:$M,'p&amp;l'!$A14&amp;'p&amp;l'!N$3,logs!$V:$V)+AT14</f>
        <v>0</v>
      </c>
      <c r="O14" s="58">
        <f t="shared" si="0"/>
        <v>43226.680000000124</v>
      </c>
      <c r="Q14" s="44" t="s">
        <v>30</v>
      </c>
      <c r="R14" s="57">
        <f ca="1">SUMIFS(logs!$V:$V,logs!$M:$M,'p&amp;l'!$Q14&amp;'p&amp;l'!R$3,logs!$A:$A,"&gt;"&amp;assumptions!$C$2)</f>
        <v>0</v>
      </c>
      <c r="S14" s="57">
        <f ca="1">SUMIFS(logs!$V:$V,logs!$M:$M,'p&amp;l'!$Q14&amp;'p&amp;l'!S$3,logs!$A:$A,"&gt;"&amp;assumptions!$C$2)</f>
        <v>0</v>
      </c>
      <c r="T14" s="57">
        <f ca="1">SUMIFS(logs!$V:$V,logs!$M:$M,'p&amp;l'!$Q14&amp;'p&amp;l'!T$3,logs!$A:$A,"&gt;"&amp;assumptions!$C$2)</f>
        <v>0</v>
      </c>
      <c r="U14" s="57">
        <f ca="1">SUMIFS(logs!$V:$V,logs!$M:$M,'p&amp;l'!$Q14&amp;'p&amp;l'!U$3,logs!$A:$A,"&gt;"&amp;assumptions!$C$2)</f>
        <v>0</v>
      </c>
      <c r="V14" s="57">
        <f ca="1">SUMIFS(logs!$V:$V,logs!$M:$M,'p&amp;l'!$Q14&amp;'p&amp;l'!V$3,logs!$A:$A,"&gt;"&amp;assumptions!$C$2)</f>
        <v>0</v>
      </c>
      <c r="W14" s="57">
        <f ca="1">SUMIFS(logs!$V:$V,logs!$M:$M,'p&amp;l'!$Q14&amp;'p&amp;l'!W$3,logs!$A:$A,"&gt;"&amp;assumptions!$C$2)</f>
        <v>0</v>
      </c>
      <c r="X14" s="57">
        <f ca="1">SUMIFS(logs!$V:$V,logs!$M:$M,'p&amp;l'!$Q14&amp;'p&amp;l'!X$3,logs!$A:$A,"&gt;"&amp;assumptions!$C$2)</f>
        <v>0</v>
      </c>
      <c r="Y14" s="57">
        <f ca="1">SUMIFS(logs!$V:$V,logs!$M:$M,'p&amp;l'!$Q14&amp;'p&amp;l'!Y$3,logs!$A:$A,"&gt;"&amp;assumptions!$C$2)</f>
        <v>0</v>
      </c>
      <c r="Z14" s="57">
        <f ca="1">SUMIFS(logs!$V:$V,logs!$M:$M,'p&amp;l'!$Q14&amp;'p&amp;l'!Z$3,logs!$A:$A,"&gt;"&amp;assumptions!$C$2)</f>
        <v>0</v>
      </c>
      <c r="AA14" s="57">
        <f ca="1">SUMIFS(logs!$V:$V,logs!$M:$M,'p&amp;l'!$Q14&amp;'p&amp;l'!AA$3,logs!$A:$A,"&gt;"&amp;assumptions!$C$2)</f>
        <v>0</v>
      </c>
      <c r="AB14" s="57">
        <f ca="1">SUMIFS(logs!$V:$V,logs!$M:$M,'p&amp;l'!$Q14&amp;'p&amp;l'!AB$3,logs!$A:$A,"&gt;"&amp;assumptions!$C$2)</f>
        <v>0</v>
      </c>
      <c r="AC14" s="57">
        <f ca="1">SUMIFS(logs!$V:$V,logs!$M:$M,'p&amp;l'!$Q14&amp;'p&amp;l'!AC$3,logs!$A:$A,"&gt;"&amp;assumptions!$C$2)</f>
        <v>0</v>
      </c>
      <c r="AD14" s="57">
        <f ca="1">SUMIFS(logs!$V:$V,logs!$M:$M,'p&amp;l'!$Q14&amp;'p&amp;l'!AD$3,logs!$A:$A,"&gt;"&amp;assumptions!$C$2)</f>
        <v>0</v>
      </c>
      <c r="AE14" s="58">
        <f t="shared" ca="1" si="1"/>
        <v>0</v>
      </c>
      <c r="AG14" s="44" t="s">
        <v>30</v>
      </c>
      <c r="AH14" s="57">
        <f>-SUMIF(logs!$M:$M,'p&amp;l'!$AG14&amp;'p&amp;l'!AH$3,logs!$R:$R)</f>
        <v>0</v>
      </c>
      <c r="AI14" s="57">
        <f>-SUMIF(logs!$M:$M,'p&amp;l'!$AG14&amp;'p&amp;l'!AI$3,logs!$R:$R)</f>
        <v>0</v>
      </c>
      <c r="AJ14" s="57">
        <f>-SUMIF(logs!$M:$M,'p&amp;l'!$AG14&amp;'p&amp;l'!AJ$3,logs!$R:$R)</f>
        <v>0</v>
      </c>
      <c r="AK14" s="57">
        <f>-SUMIF(logs!$M:$M,'p&amp;l'!$AG14&amp;'p&amp;l'!AK$3,logs!$R:$R)</f>
        <v>0</v>
      </c>
      <c r="AL14" s="57">
        <f>-SUMIF(logs!$M:$M,'p&amp;l'!$AG14&amp;'p&amp;l'!AL$3,logs!$R:$R)</f>
        <v>-28.86</v>
      </c>
      <c r="AM14" s="57">
        <f>-SUMIF(logs!$M:$M,'p&amp;l'!$AG14&amp;'p&amp;l'!AM$3,logs!$R:$R)</f>
        <v>0</v>
      </c>
      <c r="AN14" s="57">
        <f>-SUMIF(logs!$M:$M,'p&amp;l'!$AG14&amp;'p&amp;l'!AN$3,logs!$R:$R)</f>
        <v>0</v>
      </c>
      <c r="AO14" s="57">
        <f>-SUMIF(logs!$M:$M,'p&amp;l'!$AG14&amp;'p&amp;l'!AO$3,logs!$R:$R)</f>
        <v>0</v>
      </c>
      <c r="AP14" s="57">
        <f>-SUMIF(logs!$M:$M,'p&amp;l'!$AG14&amp;'p&amp;l'!AP$3,logs!$R:$R)</f>
        <v>-44.46</v>
      </c>
      <c r="AQ14" s="57">
        <f>-SUMIF(logs!$M:$M,'p&amp;l'!$AG14&amp;'p&amp;l'!AQ$3,logs!$R:$R)</f>
        <v>0</v>
      </c>
      <c r="AR14" s="57">
        <f>-SUMIF(logs!$M:$M,'p&amp;l'!$AG14&amp;'p&amp;l'!AR$3,logs!$R:$R)</f>
        <v>0</v>
      </c>
      <c r="AS14" s="57">
        <f>-SUMIF(logs!$M:$M,'p&amp;l'!$AG14&amp;'p&amp;l'!AS$3,logs!$R:$R)</f>
        <v>0</v>
      </c>
      <c r="AT14" s="57">
        <f>-SUMIF(logs!$M:$M,'p&amp;l'!$AG14&amp;'p&amp;l'!AT$3,logs!$R:$R)</f>
        <v>0</v>
      </c>
      <c r="AU14" s="58">
        <f t="shared" si="2"/>
        <v>-73.319999999999993</v>
      </c>
    </row>
    <row r="15" spans="1:47" x14ac:dyDescent="0.35">
      <c r="A15" s="44" t="s">
        <v>33</v>
      </c>
      <c r="B15" s="57">
        <f>SUMIF(logs!$M:$M,'p&amp;l'!$A15&amp;'p&amp;l'!B$3,logs!$V:$V)+AH15</f>
        <v>100476.59999999992</v>
      </c>
      <c r="C15" s="57">
        <f>SUMIF(logs!$M:$M,'p&amp;l'!$A15&amp;'p&amp;l'!C$3,logs!$V:$V)+AI15</f>
        <v>0</v>
      </c>
      <c r="D15" s="57">
        <f>SUMIF(logs!$M:$M,'p&amp;l'!$A15&amp;'p&amp;l'!D$3,logs!$V:$V)+AJ15</f>
        <v>-123023.4</v>
      </c>
      <c r="E15" s="57">
        <f>SUMIF(logs!$M:$M,'p&amp;l'!$A15&amp;'p&amp;l'!E$3,logs!$V:$V)+AK15</f>
        <v>0</v>
      </c>
      <c r="F15" s="57">
        <f>SUMIF(logs!$M:$M,'p&amp;l'!$A15&amp;'p&amp;l'!F$3,logs!$V:$V)+AL15</f>
        <v>0</v>
      </c>
      <c r="G15" s="57">
        <f>SUMIF(logs!$M:$M,'p&amp;l'!$A15&amp;'p&amp;l'!G$3,logs!$V:$V)+AM15</f>
        <v>0</v>
      </c>
      <c r="H15" s="57">
        <f>SUMIF(logs!$M:$M,'p&amp;l'!$A15&amp;'p&amp;l'!H$3,logs!$V:$V)+AN15</f>
        <v>0</v>
      </c>
      <c r="I15" s="57">
        <f>SUMIF(logs!$M:$M,'p&amp;l'!$A15&amp;'p&amp;l'!I$3,logs!$V:$V)+AO15</f>
        <v>0</v>
      </c>
      <c r="J15" s="57">
        <f>SUMIF(logs!$M:$M,'p&amp;l'!$A15&amp;'p&amp;l'!J$3,logs!$V:$V)+AP15</f>
        <v>0</v>
      </c>
      <c r="K15" s="57">
        <f>SUMIF(logs!$M:$M,'p&amp;l'!$A15&amp;'p&amp;l'!K$3,logs!$V:$V)+AQ15</f>
        <v>0</v>
      </c>
      <c r="L15" s="57">
        <f>SUMIF(logs!$M:$M,'p&amp;l'!$A15&amp;'p&amp;l'!L$3,logs!$V:$V)+AR15</f>
        <v>0</v>
      </c>
      <c r="M15" s="57">
        <f>SUMIF(logs!$M:$M,'p&amp;l'!$A15&amp;'p&amp;l'!M$3,logs!$V:$V)+AS15</f>
        <v>0</v>
      </c>
      <c r="N15" s="57">
        <f>SUMIF(logs!$M:$M,'p&amp;l'!$A15&amp;'p&amp;l'!N$3,logs!$V:$V)+AT15</f>
        <v>0</v>
      </c>
      <c r="O15" s="58">
        <f t="shared" si="0"/>
        <v>-22546.800000000076</v>
      </c>
      <c r="Q15" s="44" t="s">
        <v>33</v>
      </c>
      <c r="R15" s="57">
        <f ca="1">SUMIFS(logs!$V:$V,logs!$M:$M,'p&amp;l'!$Q15&amp;'p&amp;l'!R$3,logs!$A:$A,"&gt;"&amp;assumptions!$C$2)</f>
        <v>0</v>
      </c>
      <c r="S15" s="57">
        <f ca="1">SUMIFS(logs!$V:$V,logs!$M:$M,'p&amp;l'!$Q15&amp;'p&amp;l'!S$3,logs!$A:$A,"&gt;"&amp;assumptions!$C$2)</f>
        <v>0</v>
      </c>
      <c r="T15" s="57">
        <f ca="1">SUMIFS(logs!$V:$V,logs!$M:$M,'p&amp;l'!$Q15&amp;'p&amp;l'!T$3,logs!$A:$A,"&gt;"&amp;assumptions!$C$2)</f>
        <v>0</v>
      </c>
      <c r="U15" s="57">
        <f ca="1">SUMIFS(logs!$V:$V,logs!$M:$M,'p&amp;l'!$Q15&amp;'p&amp;l'!U$3,logs!$A:$A,"&gt;"&amp;assumptions!$C$2)</f>
        <v>0</v>
      </c>
      <c r="V15" s="57">
        <f ca="1">SUMIFS(logs!$V:$V,logs!$M:$M,'p&amp;l'!$Q15&amp;'p&amp;l'!V$3,logs!$A:$A,"&gt;"&amp;assumptions!$C$2)</f>
        <v>0</v>
      </c>
      <c r="W15" s="57">
        <f ca="1">SUMIFS(logs!$V:$V,logs!$M:$M,'p&amp;l'!$Q15&amp;'p&amp;l'!W$3,logs!$A:$A,"&gt;"&amp;assumptions!$C$2)</f>
        <v>0</v>
      </c>
      <c r="X15" s="57">
        <f ca="1">SUMIFS(logs!$V:$V,logs!$M:$M,'p&amp;l'!$Q15&amp;'p&amp;l'!X$3,logs!$A:$A,"&gt;"&amp;assumptions!$C$2)</f>
        <v>0</v>
      </c>
      <c r="Y15" s="57">
        <f ca="1">SUMIFS(logs!$V:$V,logs!$M:$M,'p&amp;l'!$Q15&amp;'p&amp;l'!Y$3,logs!$A:$A,"&gt;"&amp;assumptions!$C$2)</f>
        <v>0</v>
      </c>
      <c r="Z15" s="57">
        <f ca="1">SUMIFS(logs!$V:$V,logs!$M:$M,'p&amp;l'!$Q15&amp;'p&amp;l'!Z$3,logs!$A:$A,"&gt;"&amp;assumptions!$C$2)</f>
        <v>0</v>
      </c>
      <c r="AA15" s="57">
        <f ca="1">SUMIFS(logs!$V:$V,logs!$M:$M,'p&amp;l'!$Q15&amp;'p&amp;l'!AA$3,logs!$A:$A,"&gt;"&amp;assumptions!$C$2)</f>
        <v>0</v>
      </c>
      <c r="AB15" s="57">
        <f ca="1">SUMIFS(logs!$V:$V,logs!$M:$M,'p&amp;l'!$Q15&amp;'p&amp;l'!AB$3,logs!$A:$A,"&gt;"&amp;assumptions!$C$2)</f>
        <v>0</v>
      </c>
      <c r="AC15" s="57">
        <f ca="1">SUMIFS(logs!$V:$V,logs!$M:$M,'p&amp;l'!$Q15&amp;'p&amp;l'!AC$3,logs!$A:$A,"&gt;"&amp;assumptions!$C$2)</f>
        <v>0</v>
      </c>
      <c r="AD15" s="57">
        <f ca="1">SUMIFS(logs!$V:$V,logs!$M:$M,'p&amp;l'!$Q15&amp;'p&amp;l'!AD$3,logs!$A:$A,"&gt;"&amp;assumptions!$C$2)</f>
        <v>0</v>
      </c>
      <c r="AE15" s="58">
        <f t="shared" ca="1" si="1"/>
        <v>0</v>
      </c>
      <c r="AG15" s="44" t="s">
        <v>33</v>
      </c>
      <c r="AH15" s="57">
        <f>-SUMIF(logs!$M:$M,'p&amp;l'!$AG15&amp;'p&amp;l'!AH$3,logs!$R:$R)</f>
        <v>-23.400000000000002</v>
      </c>
      <c r="AI15" s="57">
        <f>-SUMIF(logs!$M:$M,'p&amp;l'!$AG15&amp;'p&amp;l'!AI$3,logs!$R:$R)</f>
        <v>0</v>
      </c>
      <c r="AJ15" s="57">
        <f>-SUMIF(logs!$M:$M,'p&amp;l'!$AG15&amp;'p&amp;l'!AJ$3,logs!$R:$R)</f>
        <v>-23.400000000000002</v>
      </c>
      <c r="AK15" s="57">
        <f>-SUMIF(logs!$M:$M,'p&amp;l'!$AG15&amp;'p&amp;l'!AK$3,logs!$R:$R)</f>
        <v>0</v>
      </c>
      <c r="AL15" s="57">
        <f>-SUMIF(logs!$M:$M,'p&amp;l'!$AG15&amp;'p&amp;l'!AL$3,logs!$R:$R)</f>
        <v>0</v>
      </c>
      <c r="AM15" s="57">
        <f>-SUMIF(logs!$M:$M,'p&amp;l'!$AG15&amp;'p&amp;l'!AM$3,logs!$R:$R)</f>
        <v>0</v>
      </c>
      <c r="AN15" s="57">
        <f>-SUMIF(logs!$M:$M,'p&amp;l'!$AG15&amp;'p&amp;l'!AN$3,logs!$R:$R)</f>
        <v>0</v>
      </c>
      <c r="AO15" s="57">
        <f>-SUMIF(logs!$M:$M,'p&amp;l'!$AG15&amp;'p&amp;l'!AO$3,logs!$R:$R)</f>
        <v>0</v>
      </c>
      <c r="AP15" s="57">
        <f>-SUMIF(logs!$M:$M,'p&amp;l'!$AG15&amp;'p&amp;l'!AP$3,logs!$R:$R)</f>
        <v>0</v>
      </c>
      <c r="AQ15" s="57">
        <f>-SUMIF(logs!$M:$M,'p&amp;l'!$AG15&amp;'p&amp;l'!AQ$3,logs!$R:$R)</f>
        <v>0</v>
      </c>
      <c r="AR15" s="57">
        <f>-SUMIF(logs!$M:$M,'p&amp;l'!$AG15&amp;'p&amp;l'!AR$3,logs!$R:$R)</f>
        <v>0</v>
      </c>
      <c r="AS15" s="57">
        <f>-SUMIF(logs!$M:$M,'p&amp;l'!$AG15&amp;'p&amp;l'!AS$3,logs!$R:$R)</f>
        <v>0</v>
      </c>
      <c r="AT15" s="57">
        <f>-SUMIF(logs!$M:$M,'p&amp;l'!$AG15&amp;'p&amp;l'!AT$3,logs!$R:$R)</f>
        <v>0</v>
      </c>
      <c r="AU15" s="58">
        <f t="shared" si="2"/>
        <v>-46.800000000000004</v>
      </c>
    </row>
    <row r="16" spans="1:47" x14ac:dyDescent="0.35">
      <c r="A16" s="44" t="s">
        <v>36</v>
      </c>
      <c r="B16" s="57">
        <f>SUMIF(logs!$M:$M,'p&amp;l'!$A16&amp;'p&amp;l'!B$3,logs!$V:$V)+AH16</f>
        <v>0</v>
      </c>
      <c r="C16" s="57">
        <f>SUMIF(logs!$M:$M,'p&amp;l'!$A16&amp;'p&amp;l'!C$3,logs!$V:$V)+AI16</f>
        <v>0</v>
      </c>
      <c r="D16" s="57">
        <f>SUMIF(logs!$M:$M,'p&amp;l'!$A16&amp;'p&amp;l'!D$3,logs!$V:$V)+AJ16</f>
        <v>0</v>
      </c>
      <c r="E16" s="57">
        <f>SUMIF(logs!$M:$M,'p&amp;l'!$A16&amp;'p&amp;l'!E$3,logs!$V:$V)+AK16</f>
        <v>0</v>
      </c>
      <c r="F16" s="57">
        <f>SUMIF(logs!$M:$M,'p&amp;l'!$A16&amp;'p&amp;l'!F$3,logs!$V:$V)+AL16</f>
        <v>0</v>
      </c>
      <c r="G16" s="57">
        <f>SUMIF(logs!$M:$M,'p&amp;l'!$A16&amp;'p&amp;l'!G$3,logs!$V:$V)+AM16</f>
        <v>0</v>
      </c>
      <c r="H16" s="57">
        <f>SUMIF(logs!$M:$M,'p&amp;l'!$A16&amp;'p&amp;l'!H$3,logs!$V:$V)+AN16</f>
        <v>0</v>
      </c>
      <c r="I16" s="57">
        <f>SUMIF(logs!$M:$M,'p&amp;l'!$A16&amp;'p&amp;l'!I$3,logs!$V:$V)+AO16</f>
        <v>0</v>
      </c>
      <c r="J16" s="57">
        <f>SUMIF(logs!$M:$M,'p&amp;l'!$A16&amp;'p&amp;l'!J$3,logs!$V:$V)+AP16</f>
        <v>0</v>
      </c>
      <c r="K16" s="57">
        <f>SUMIF(logs!$M:$M,'p&amp;l'!$A16&amp;'p&amp;l'!K$3,logs!$V:$V)+AQ16</f>
        <v>0</v>
      </c>
      <c r="L16" s="57">
        <f>SUMIF(logs!$M:$M,'p&amp;l'!$A16&amp;'p&amp;l'!L$3,logs!$V:$V)+AR16</f>
        <v>0</v>
      </c>
      <c r="M16" s="57">
        <f>SUMIF(logs!$M:$M,'p&amp;l'!$A16&amp;'p&amp;l'!M$3,logs!$V:$V)+AS16</f>
        <v>0</v>
      </c>
      <c r="N16" s="57">
        <f>SUMIF(logs!$M:$M,'p&amp;l'!$A16&amp;'p&amp;l'!N$3,logs!$V:$V)+AT16</f>
        <v>0</v>
      </c>
      <c r="O16" s="58">
        <f t="shared" si="0"/>
        <v>0</v>
      </c>
      <c r="Q16" s="44" t="s">
        <v>36</v>
      </c>
      <c r="R16" s="57">
        <f ca="1">SUMIFS(logs!$V:$V,logs!$M:$M,'p&amp;l'!$Q16&amp;'p&amp;l'!R$3,logs!$A:$A,"&gt;"&amp;assumptions!$C$2)</f>
        <v>0</v>
      </c>
      <c r="S16" s="57">
        <f ca="1">SUMIFS(logs!$V:$V,logs!$M:$M,'p&amp;l'!$Q16&amp;'p&amp;l'!S$3,logs!$A:$A,"&gt;"&amp;assumptions!$C$2)</f>
        <v>0</v>
      </c>
      <c r="T16" s="57">
        <f ca="1">SUMIFS(logs!$V:$V,logs!$M:$M,'p&amp;l'!$Q16&amp;'p&amp;l'!T$3,logs!$A:$A,"&gt;"&amp;assumptions!$C$2)</f>
        <v>0</v>
      </c>
      <c r="U16" s="57">
        <f ca="1">SUMIFS(logs!$V:$V,logs!$M:$M,'p&amp;l'!$Q16&amp;'p&amp;l'!U$3,logs!$A:$A,"&gt;"&amp;assumptions!$C$2)</f>
        <v>0</v>
      </c>
      <c r="V16" s="57">
        <f ca="1">SUMIFS(logs!$V:$V,logs!$M:$M,'p&amp;l'!$Q16&amp;'p&amp;l'!V$3,logs!$A:$A,"&gt;"&amp;assumptions!$C$2)</f>
        <v>0</v>
      </c>
      <c r="W16" s="57">
        <f ca="1">SUMIFS(logs!$V:$V,logs!$M:$M,'p&amp;l'!$Q16&amp;'p&amp;l'!W$3,logs!$A:$A,"&gt;"&amp;assumptions!$C$2)</f>
        <v>0</v>
      </c>
      <c r="X16" s="57">
        <f ca="1">SUMIFS(logs!$V:$V,logs!$M:$M,'p&amp;l'!$Q16&amp;'p&amp;l'!X$3,logs!$A:$A,"&gt;"&amp;assumptions!$C$2)</f>
        <v>0</v>
      </c>
      <c r="Y16" s="57">
        <f ca="1">SUMIFS(logs!$V:$V,logs!$M:$M,'p&amp;l'!$Q16&amp;'p&amp;l'!Y$3,logs!$A:$A,"&gt;"&amp;assumptions!$C$2)</f>
        <v>0</v>
      </c>
      <c r="Z16" s="57">
        <f ca="1">SUMIFS(logs!$V:$V,logs!$M:$M,'p&amp;l'!$Q16&amp;'p&amp;l'!Z$3,logs!$A:$A,"&gt;"&amp;assumptions!$C$2)</f>
        <v>0</v>
      </c>
      <c r="AA16" s="57">
        <f ca="1">SUMIFS(logs!$V:$V,logs!$M:$M,'p&amp;l'!$Q16&amp;'p&amp;l'!AA$3,logs!$A:$A,"&gt;"&amp;assumptions!$C$2)</f>
        <v>0</v>
      </c>
      <c r="AB16" s="57">
        <f ca="1">SUMIFS(logs!$V:$V,logs!$M:$M,'p&amp;l'!$Q16&amp;'p&amp;l'!AB$3,logs!$A:$A,"&gt;"&amp;assumptions!$C$2)</f>
        <v>0</v>
      </c>
      <c r="AC16" s="57">
        <f ca="1">SUMIFS(logs!$V:$V,logs!$M:$M,'p&amp;l'!$Q16&amp;'p&amp;l'!AC$3,logs!$A:$A,"&gt;"&amp;assumptions!$C$2)</f>
        <v>0</v>
      </c>
      <c r="AD16" s="57">
        <f ca="1">SUMIFS(logs!$V:$V,logs!$M:$M,'p&amp;l'!$Q16&amp;'p&amp;l'!AD$3,logs!$A:$A,"&gt;"&amp;assumptions!$C$2)</f>
        <v>0</v>
      </c>
      <c r="AE16" s="58">
        <f t="shared" ca="1" si="1"/>
        <v>0</v>
      </c>
      <c r="AG16" s="44" t="s">
        <v>36</v>
      </c>
      <c r="AH16" s="57">
        <f>-SUMIF(logs!$M:$M,'p&amp;l'!$AG16&amp;'p&amp;l'!AH$3,logs!$R:$R)</f>
        <v>0</v>
      </c>
      <c r="AI16" s="57">
        <f>-SUMIF(logs!$M:$M,'p&amp;l'!$AG16&amp;'p&amp;l'!AI$3,logs!$R:$R)</f>
        <v>0</v>
      </c>
      <c r="AJ16" s="57">
        <f>-SUMIF(logs!$M:$M,'p&amp;l'!$AG16&amp;'p&amp;l'!AJ$3,logs!$R:$R)</f>
        <v>0</v>
      </c>
      <c r="AK16" s="57">
        <f>-SUMIF(logs!$M:$M,'p&amp;l'!$AG16&amp;'p&amp;l'!AK$3,logs!$R:$R)</f>
        <v>0</v>
      </c>
      <c r="AL16" s="57">
        <f>-SUMIF(logs!$M:$M,'p&amp;l'!$AG16&amp;'p&amp;l'!AL$3,logs!$R:$R)</f>
        <v>0</v>
      </c>
      <c r="AM16" s="57">
        <f>-SUMIF(logs!$M:$M,'p&amp;l'!$AG16&amp;'p&amp;l'!AM$3,logs!$R:$R)</f>
        <v>0</v>
      </c>
      <c r="AN16" s="57">
        <f>-SUMIF(logs!$M:$M,'p&amp;l'!$AG16&amp;'p&amp;l'!AN$3,logs!$R:$R)</f>
        <v>0</v>
      </c>
      <c r="AO16" s="57">
        <f>-SUMIF(logs!$M:$M,'p&amp;l'!$AG16&amp;'p&amp;l'!AO$3,logs!$R:$R)</f>
        <v>0</v>
      </c>
      <c r="AP16" s="57">
        <f>-SUMIF(logs!$M:$M,'p&amp;l'!$AG16&amp;'p&amp;l'!AP$3,logs!$R:$R)</f>
        <v>0</v>
      </c>
      <c r="AQ16" s="57">
        <f>-SUMIF(logs!$M:$M,'p&amp;l'!$AG16&amp;'p&amp;l'!AQ$3,logs!$R:$R)</f>
        <v>0</v>
      </c>
      <c r="AR16" s="57">
        <f>-SUMIF(logs!$M:$M,'p&amp;l'!$AG16&amp;'p&amp;l'!AR$3,logs!$R:$R)</f>
        <v>0</v>
      </c>
      <c r="AS16" s="57">
        <f>-SUMIF(logs!$M:$M,'p&amp;l'!$AG16&amp;'p&amp;l'!AS$3,logs!$R:$R)</f>
        <v>0</v>
      </c>
      <c r="AT16" s="57">
        <f>-SUMIF(logs!$M:$M,'p&amp;l'!$AG16&amp;'p&amp;l'!AT$3,logs!$R:$R)</f>
        <v>0</v>
      </c>
      <c r="AU16" s="58">
        <f t="shared" si="2"/>
        <v>0</v>
      </c>
    </row>
    <row r="17" spans="1:47" x14ac:dyDescent="0.35">
      <c r="A17" s="45" t="s">
        <v>39</v>
      </c>
      <c r="B17" s="59">
        <f>SUMIF(logs!$M:$M,'p&amp;l'!$A17&amp;'p&amp;l'!B$3,logs!$V:$V)+AH17</f>
        <v>0</v>
      </c>
      <c r="C17" s="59">
        <f>SUMIF(logs!$M:$M,'p&amp;l'!$A17&amp;'p&amp;l'!C$3,logs!$V:$V)+AI17</f>
        <v>0</v>
      </c>
      <c r="D17" s="59">
        <f>SUMIF(logs!$M:$M,'p&amp;l'!$A17&amp;'p&amp;l'!D$3,logs!$V:$V)+AJ17</f>
        <v>0</v>
      </c>
      <c r="E17" s="59">
        <f>SUMIF(logs!$M:$M,'p&amp;l'!$A17&amp;'p&amp;l'!E$3,logs!$V:$V)+AK17</f>
        <v>0</v>
      </c>
      <c r="F17" s="59">
        <f>SUMIF(logs!$M:$M,'p&amp;l'!$A17&amp;'p&amp;l'!F$3,logs!$V:$V)+AL17</f>
        <v>1230.5000000000655</v>
      </c>
      <c r="G17" s="59">
        <f>SUMIF(logs!$M:$M,'p&amp;l'!$A17&amp;'p&amp;l'!G$3,logs!$V:$V)+AM17</f>
        <v>0</v>
      </c>
      <c r="H17" s="59">
        <f>SUMIF(logs!$M:$M,'p&amp;l'!$A17&amp;'p&amp;l'!H$3,logs!$V:$V)+AN17</f>
        <v>0</v>
      </c>
      <c r="I17" s="59">
        <f>SUMIF(logs!$M:$M,'p&amp;l'!$A17&amp;'p&amp;l'!I$3,logs!$V:$V)+AO17</f>
        <v>0</v>
      </c>
      <c r="J17" s="59">
        <f>SUMIF(logs!$M:$M,'p&amp;l'!$A17&amp;'p&amp;l'!J$3,logs!$V:$V)+AP17</f>
        <v>0</v>
      </c>
      <c r="K17" s="59">
        <f>SUMIF(logs!$M:$M,'p&amp;l'!$A17&amp;'p&amp;l'!K$3,logs!$V:$V)+AQ17</f>
        <v>-31269.500000000011</v>
      </c>
      <c r="L17" s="59">
        <f>SUMIF(logs!$M:$M,'p&amp;l'!$A17&amp;'p&amp;l'!L$3,logs!$V:$V)+AR17</f>
        <v>0</v>
      </c>
      <c r="M17" s="59">
        <f>SUMIF(logs!$M:$M,'p&amp;l'!$A17&amp;'p&amp;l'!M$3,logs!$V:$V)+AS17</f>
        <v>0</v>
      </c>
      <c r="N17" s="59">
        <f>SUMIF(logs!$M:$M,'p&amp;l'!$A17&amp;'p&amp;l'!N$3,logs!$V:$V)+AT17</f>
        <v>0</v>
      </c>
      <c r="O17" s="60">
        <f t="shared" si="0"/>
        <v>-30038.999999999945</v>
      </c>
      <c r="Q17" s="45" t="s">
        <v>39</v>
      </c>
      <c r="R17" s="59">
        <f ca="1">SUMIFS(logs!$V:$V,logs!$M:$M,'p&amp;l'!$Q17&amp;'p&amp;l'!R$3,logs!$A:$A,"&gt;"&amp;assumptions!$C$2)</f>
        <v>0</v>
      </c>
      <c r="S17" s="59">
        <f ca="1">SUMIFS(logs!$V:$V,logs!$M:$M,'p&amp;l'!$Q17&amp;'p&amp;l'!S$3,logs!$A:$A,"&gt;"&amp;assumptions!$C$2)</f>
        <v>0</v>
      </c>
      <c r="T17" s="59">
        <f ca="1">SUMIFS(logs!$V:$V,logs!$M:$M,'p&amp;l'!$Q17&amp;'p&amp;l'!T$3,logs!$A:$A,"&gt;"&amp;assumptions!$C$2)</f>
        <v>0</v>
      </c>
      <c r="U17" s="59">
        <f ca="1">SUMIFS(logs!$V:$V,logs!$M:$M,'p&amp;l'!$Q17&amp;'p&amp;l'!U$3,logs!$A:$A,"&gt;"&amp;assumptions!$C$2)</f>
        <v>0</v>
      </c>
      <c r="V17" s="59">
        <f ca="1">SUMIFS(logs!$V:$V,logs!$M:$M,'p&amp;l'!$Q17&amp;'p&amp;l'!V$3,logs!$A:$A,"&gt;"&amp;assumptions!$C$2)</f>
        <v>0</v>
      </c>
      <c r="W17" s="59">
        <f ca="1">SUMIFS(logs!$V:$V,logs!$M:$M,'p&amp;l'!$Q17&amp;'p&amp;l'!W$3,logs!$A:$A,"&gt;"&amp;assumptions!$C$2)</f>
        <v>0</v>
      </c>
      <c r="X17" s="59">
        <f ca="1">SUMIFS(logs!$V:$V,logs!$M:$M,'p&amp;l'!$Q17&amp;'p&amp;l'!X$3,logs!$A:$A,"&gt;"&amp;assumptions!$C$2)</f>
        <v>0</v>
      </c>
      <c r="Y17" s="59">
        <f ca="1">SUMIFS(logs!$V:$V,logs!$M:$M,'p&amp;l'!$Q17&amp;'p&amp;l'!Y$3,logs!$A:$A,"&gt;"&amp;assumptions!$C$2)</f>
        <v>0</v>
      </c>
      <c r="Z17" s="59">
        <f ca="1">SUMIFS(logs!$V:$V,logs!$M:$M,'p&amp;l'!$Q17&amp;'p&amp;l'!Z$3,logs!$A:$A,"&gt;"&amp;assumptions!$C$2)</f>
        <v>0</v>
      </c>
      <c r="AA17" s="59">
        <f ca="1">SUMIFS(logs!$V:$V,logs!$M:$M,'p&amp;l'!$Q17&amp;'p&amp;l'!AA$3,logs!$A:$A,"&gt;"&amp;assumptions!$C$2)</f>
        <v>0</v>
      </c>
      <c r="AB17" s="59">
        <f ca="1">SUMIFS(logs!$V:$V,logs!$M:$M,'p&amp;l'!$Q17&amp;'p&amp;l'!AB$3,logs!$A:$A,"&gt;"&amp;assumptions!$C$2)</f>
        <v>0</v>
      </c>
      <c r="AC17" s="59">
        <f ca="1">SUMIFS(logs!$V:$V,logs!$M:$M,'p&amp;l'!$Q17&amp;'p&amp;l'!AC$3,logs!$A:$A,"&gt;"&amp;assumptions!$C$2)</f>
        <v>0</v>
      </c>
      <c r="AD17" s="59">
        <f ca="1">SUMIFS(logs!$V:$V,logs!$M:$M,'p&amp;l'!$Q17&amp;'p&amp;l'!AD$3,logs!$A:$A,"&gt;"&amp;assumptions!$C$2)</f>
        <v>0</v>
      </c>
      <c r="AE17" s="60">
        <f t="shared" ca="1" si="1"/>
        <v>0</v>
      </c>
      <c r="AG17" s="45" t="s">
        <v>39</v>
      </c>
      <c r="AH17" s="59">
        <f>-SUMIF(logs!$M:$M,'p&amp;l'!$AG17&amp;'p&amp;l'!AH$3,logs!$R:$R)</f>
        <v>0</v>
      </c>
      <c r="AI17" s="59">
        <f>-SUMIF(logs!$M:$M,'p&amp;l'!$AG17&amp;'p&amp;l'!AI$3,logs!$R:$R)</f>
        <v>0</v>
      </c>
      <c r="AJ17" s="59">
        <f>-SUMIF(logs!$M:$M,'p&amp;l'!$AG17&amp;'p&amp;l'!AJ$3,logs!$R:$R)</f>
        <v>0</v>
      </c>
      <c r="AK17" s="59">
        <f>-SUMIF(logs!$M:$M,'p&amp;l'!$AG17&amp;'p&amp;l'!AK$3,logs!$R:$R)</f>
        <v>0</v>
      </c>
      <c r="AL17" s="59">
        <f>-SUMIF(logs!$M:$M,'p&amp;l'!$AG17&amp;'p&amp;l'!AL$3,logs!$R:$R)</f>
        <v>-19.5</v>
      </c>
      <c r="AM17" s="59">
        <f>-SUMIF(logs!$M:$M,'p&amp;l'!$AG17&amp;'p&amp;l'!AM$3,logs!$R:$R)</f>
        <v>0</v>
      </c>
      <c r="AN17" s="59">
        <f>-SUMIF(logs!$M:$M,'p&amp;l'!$AG17&amp;'p&amp;l'!AN$3,logs!$R:$R)</f>
        <v>0</v>
      </c>
      <c r="AO17" s="59">
        <f>-SUMIF(logs!$M:$M,'p&amp;l'!$AG17&amp;'p&amp;l'!AO$3,logs!$R:$R)</f>
        <v>0</v>
      </c>
      <c r="AP17" s="59">
        <f>-SUMIF(logs!$M:$M,'p&amp;l'!$AG17&amp;'p&amp;l'!AP$3,logs!$R:$R)</f>
        <v>0</v>
      </c>
      <c r="AQ17" s="59">
        <f>-SUMIF(logs!$M:$M,'p&amp;l'!$AG17&amp;'p&amp;l'!AQ$3,logs!$R:$R)</f>
        <v>-19.5</v>
      </c>
      <c r="AR17" s="59">
        <f>-SUMIF(logs!$M:$M,'p&amp;l'!$AG17&amp;'p&amp;l'!AR$3,logs!$R:$R)</f>
        <v>0</v>
      </c>
      <c r="AS17" s="59">
        <f>-SUMIF(logs!$M:$M,'p&amp;l'!$AG17&amp;'p&amp;l'!AS$3,logs!$R:$R)</f>
        <v>0</v>
      </c>
      <c r="AT17" s="59">
        <f>-SUMIF(logs!$M:$M,'p&amp;l'!$AG17&amp;'p&amp;l'!AT$3,logs!$R:$R)</f>
        <v>0</v>
      </c>
      <c r="AU17" s="60">
        <f t="shared" si="2"/>
        <v>-39</v>
      </c>
    </row>
    <row r="18" spans="1:47" x14ac:dyDescent="0.35">
      <c r="A18" s="56" t="s">
        <v>63</v>
      </c>
      <c r="B18" s="61">
        <f>SUMIF(logs!$M:$M,'p&amp;l'!$A18&amp;'p&amp;l'!B$3,logs!$V:$V)+AH18</f>
        <v>0</v>
      </c>
      <c r="C18" s="61">
        <f>SUMIF(logs!$M:$M,'p&amp;l'!$A18&amp;'p&amp;l'!C$3,logs!$V:$V)+AI18</f>
        <v>0</v>
      </c>
      <c r="D18" s="61">
        <f>SUMIF(logs!$M:$M,'p&amp;l'!$A18&amp;'p&amp;l'!D$3,logs!$V:$V)+AJ18</f>
        <v>0</v>
      </c>
      <c r="E18" s="61">
        <f>SUMIF(logs!$M:$M,'p&amp;l'!$A18&amp;'p&amp;l'!E$3,logs!$V:$V)+AK18</f>
        <v>12472.000000000069</v>
      </c>
      <c r="F18" s="61">
        <f>SUMIF(logs!$M:$M,'p&amp;l'!$A18&amp;'p&amp;l'!F$3,logs!$V:$V)+AL18</f>
        <v>0</v>
      </c>
      <c r="G18" s="61">
        <f>SUMIF(logs!$M:$M,'p&amp;l'!$A18&amp;'p&amp;l'!G$3,logs!$V:$V)+AM18</f>
        <v>0</v>
      </c>
      <c r="H18" s="61">
        <f>SUMIF(logs!$M:$M,'p&amp;l'!$A18&amp;'p&amp;l'!H$3,logs!$V:$V)+AN18</f>
        <v>0</v>
      </c>
      <c r="I18" s="61">
        <f>SUMIF(logs!$M:$M,'p&amp;l'!$A18&amp;'p&amp;l'!I$3,logs!$V:$V)+AO18</f>
        <v>0</v>
      </c>
      <c r="J18" s="61">
        <f>SUMIF(logs!$M:$M,'p&amp;l'!$A18&amp;'p&amp;l'!J$3,logs!$V:$V)+AP18</f>
        <v>0</v>
      </c>
      <c r="K18" s="61">
        <f>SUMIF(logs!$M:$M,'p&amp;l'!$A18&amp;'p&amp;l'!K$3,logs!$V:$V)+AQ18</f>
        <v>7472.0000000000409</v>
      </c>
      <c r="L18" s="61">
        <f>SUMIF(logs!$M:$M,'p&amp;l'!$A18&amp;'p&amp;l'!L$3,logs!$V:$V)+AR18</f>
        <v>0</v>
      </c>
      <c r="M18" s="61">
        <f>SUMIF(logs!$M:$M,'p&amp;l'!$A18&amp;'p&amp;l'!M$3,logs!$V:$V)+AS18</f>
        <v>0</v>
      </c>
      <c r="N18" s="61">
        <f>SUMIF(logs!$M:$M,'p&amp;l'!$A18&amp;'p&amp;l'!N$3,logs!$V:$V)+AT18</f>
        <v>0</v>
      </c>
      <c r="O18" s="62">
        <f t="shared" si="0"/>
        <v>19944.000000000109</v>
      </c>
      <c r="Q18" s="56" t="s">
        <v>63</v>
      </c>
      <c r="R18" s="61">
        <f ca="1">SUMIFS(logs!$V:$V,logs!$M:$M,'p&amp;l'!$Q18&amp;'p&amp;l'!R$3,logs!$A:$A,"&gt;"&amp;assumptions!$C$2)</f>
        <v>0</v>
      </c>
      <c r="S18" s="61">
        <f ca="1">SUMIFS(logs!$V:$V,logs!$M:$M,'p&amp;l'!$Q18&amp;'p&amp;l'!S$3,logs!$A:$A,"&gt;"&amp;assumptions!$C$2)</f>
        <v>0</v>
      </c>
      <c r="T18" s="61">
        <f ca="1">SUMIFS(logs!$V:$V,logs!$M:$M,'p&amp;l'!$Q18&amp;'p&amp;l'!T$3,logs!$A:$A,"&gt;"&amp;assumptions!$C$2)</f>
        <v>0</v>
      </c>
      <c r="U18" s="61">
        <f ca="1">SUMIFS(logs!$V:$V,logs!$M:$M,'p&amp;l'!$Q18&amp;'p&amp;l'!U$3,logs!$A:$A,"&gt;"&amp;assumptions!$C$2)</f>
        <v>0</v>
      </c>
      <c r="V18" s="61">
        <f ca="1">SUMIFS(logs!$V:$V,logs!$M:$M,'p&amp;l'!$Q18&amp;'p&amp;l'!V$3,logs!$A:$A,"&gt;"&amp;assumptions!$C$2)</f>
        <v>0</v>
      </c>
      <c r="W18" s="61">
        <f ca="1">SUMIFS(logs!$V:$V,logs!$M:$M,'p&amp;l'!$Q18&amp;'p&amp;l'!W$3,logs!$A:$A,"&gt;"&amp;assumptions!$C$2)</f>
        <v>0</v>
      </c>
      <c r="X18" s="61">
        <f ca="1">SUMIFS(logs!$V:$V,logs!$M:$M,'p&amp;l'!$Q18&amp;'p&amp;l'!X$3,logs!$A:$A,"&gt;"&amp;assumptions!$C$2)</f>
        <v>0</v>
      </c>
      <c r="Y18" s="61">
        <f ca="1">SUMIFS(logs!$V:$V,logs!$M:$M,'p&amp;l'!$Q18&amp;'p&amp;l'!Y$3,logs!$A:$A,"&gt;"&amp;assumptions!$C$2)</f>
        <v>0</v>
      </c>
      <c r="Z18" s="61">
        <f ca="1">SUMIFS(logs!$V:$V,logs!$M:$M,'p&amp;l'!$Q18&amp;'p&amp;l'!Z$3,logs!$A:$A,"&gt;"&amp;assumptions!$C$2)</f>
        <v>0</v>
      </c>
      <c r="AA18" s="61">
        <f ca="1">SUMIFS(logs!$V:$V,logs!$M:$M,'p&amp;l'!$Q18&amp;'p&amp;l'!AA$3,logs!$A:$A,"&gt;"&amp;assumptions!$C$2)</f>
        <v>0</v>
      </c>
      <c r="AB18" s="61">
        <f ca="1">SUMIFS(logs!$V:$V,logs!$M:$M,'p&amp;l'!$Q18&amp;'p&amp;l'!AB$3,logs!$A:$A,"&gt;"&amp;assumptions!$C$2)</f>
        <v>0</v>
      </c>
      <c r="AC18" s="61">
        <f ca="1">SUMIFS(logs!$V:$V,logs!$M:$M,'p&amp;l'!$Q18&amp;'p&amp;l'!AC$3,logs!$A:$A,"&gt;"&amp;assumptions!$C$2)</f>
        <v>0</v>
      </c>
      <c r="AD18" s="61">
        <f ca="1">SUMIFS(logs!$V:$V,logs!$M:$M,'p&amp;l'!$Q18&amp;'p&amp;l'!AD$3,logs!$A:$A,"&gt;"&amp;assumptions!$C$2)</f>
        <v>0</v>
      </c>
      <c r="AE18" s="62">
        <f t="shared" ca="1" si="1"/>
        <v>0</v>
      </c>
      <c r="AG18" s="56" t="s">
        <v>63</v>
      </c>
      <c r="AH18" s="61">
        <f>-SUMIF(logs!$M:$M,'p&amp;l'!$AG18&amp;'p&amp;l'!AH$3,logs!$R:$R)</f>
        <v>0</v>
      </c>
      <c r="AI18" s="61">
        <f>-SUMIF(logs!$M:$M,'p&amp;l'!$AG18&amp;'p&amp;l'!AI$3,logs!$R:$R)</f>
        <v>0</v>
      </c>
      <c r="AJ18" s="61">
        <f>-SUMIF(logs!$M:$M,'p&amp;l'!$AG18&amp;'p&amp;l'!AJ$3,logs!$R:$R)</f>
        <v>0</v>
      </c>
      <c r="AK18" s="61">
        <f>-SUMIF(logs!$M:$M,'p&amp;l'!$AG18&amp;'p&amp;l'!AK$3,logs!$R:$R)</f>
        <v>-27.999999999999996</v>
      </c>
      <c r="AL18" s="61">
        <f>-SUMIF(logs!$M:$M,'p&amp;l'!$AG18&amp;'p&amp;l'!AL$3,logs!$R:$R)</f>
        <v>0</v>
      </c>
      <c r="AM18" s="61">
        <f>-SUMIF(logs!$M:$M,'p&amp;l'!$AG18&amp;'p&amp;l'!AM$3,logs!$R:$R)</f>
        <v>0</v>
      </c>
      <c r="AN18" s="61">
        <f>-SUMIF(logs!$M:$M,'p&amp;l'!$AG18&amp;'p&amp;l'!AN$3,logs!$R:$R)</f>
        <v>0</v>
      </c>
      <c r="AO18" s="61">
        <f>-SUMIF(logs!$M:$M,'p&amp;l'!$AG18&amp;'p&amp;l'!AO$3,logs!$R:$R)</f>
        <v>0</v>
      </c>
      <c r="AP18" s="61">
        <f>-SUMIF(logs!$M:$M,'p&amp;l'!$AG18&amp;'p&amp;l'!AP$3,logs!$R:$R)</f>
        <v>0</v>
      </c>
      <c r="AQ18" s="61">
        <f>-SUMIF(logs!$M:$M,'p&amp;l'!$AG18&amp;'p&amp;l'!AQ$3,logs!$R:$R)</f>
        <v>-27.999999999999996</v>
      </c>
      <c r="AR18" s="61">
        <f>-SUMIF(logs!$M:$M,'p&amp;l'!$AG18&amp;'p&amp;l'!AR$3,logs!$R:$R)</f>
        <v>0</v>
      </c>
      <c r="AS18" s="61">
        <f>-SUMIF(logs!$M:$M,'p&amp;l'!$AG18&amp;'p&amp;l'!AS$3,logs!$R:$R)</f>
        <v>0</v>
      </c>
      <c r="AT18" s="61">
        <f>-SUMIF(logs!$M:$M,'p&amp;l'!$AG18&amp;'p&amp;l'!AT$3,logs!$R:$R)</f>
        <v>0</v>
      </c>
      <c r="AU18" s="62">
        <f t="shared" si="2"/>
        <v>-55.999999999999993</v>
      </c>
    </row>
    <row r="19" spans="1:47" x14ac:dyDescent="0.35">
      <c r="A19" s="44" t="s">
        <v>68</v>
      </c>
      <c r="B19" s="57">
        <f>SUMIF(logs!$M:$M,'p&amp;l'!$A19&amp;'p&amp;l'!B$3,logs!$V:$V)+AH19</f>
        <v>0</v>
      </c>
      <c r="C19" s="57">
        <f>SUMIF(logs!$M:$M,'p&amp;l'!$A19&amp;'p&amp;l'!C$3,logs!$V:$V)+AI19</f>
        <v>0</v>
      </c>
      <c r="D19" s="57">
        <f>SUMIF(logs!$M:$M,'p&amp;l'!$A19&amp;'p&amp;l'!D$3,logs!$V:$V)+AJ19</f>
        <v>0</v>
      </c>
      <c r="E19" s="57">
        <f>SUMIF(logs!$M:$M,'p&amp;l'!$A19&amp;'p&amp;l'!E$3,logs!$V:$V)+AK19</f>
        <v>0</v>
      </c>
      <c r="F19" s="57">
        <f>SUMIF(logs!$M:$M,'p&amp;l'!$A19&amp;'p&amp;l'!F$3,logs!$V:$V)+AL19</f>
        <v>0</v>
      </c>
      <c r="G19" s="57">
        <f>SUMIF(logs!$M:$M,'p&amp;l'!$A19&amp;'p&amp;l'!G$3,logs!$V:$V)+AM19</f>
        <v>0</v>
      </c>
      <c r="H19" s="57">
        <f>SUMIF(logs!$M:$M,'p&amp;l'!$A19&amp;'p&amp;l'!H$3,logs!$V:$V)+AN19</f>
        <v>0</v>
      </c>
      <c r="I19" s="57">
        <f>SUMIF(logs!$M:$M,'p&amp;l'!$A19&amp;'p&amp;l'!I$3,logs!$V:$V)+AO19</f>
        <v>0</v>
      </c>
      <c r="J19" s="57">
        <f>SUMIF(logs!$M:$M,'p&amp;l'!$A19&amp;'p&amp;l'!J$3,logs!$V:$V)+AP19</f>
        <v>0</v>
      </c>
      <c r="K19" s="57">
        <f>SUMIF(logs!$M:$M,'p&amp;l'!$A19&amp;'p&amp;l'!K$3,logs!$V:$V)+AQ19</f>
        <v>0</v>
      </c>
      <c r="L19" s="57">
        <f>SUMIF(logs!$M:$M,'p&amp;l'!$A19&amp;'p&amp;l'!L$3,logs!$V:$V)+AR19</f>
        <v>0</v>
      </c>
      <c r="M19" s="57">
        <f>SUMIF(logs!$M:$M,'p&amp;l'!$A19&amp;'p&amp;l'!M$3,logs!$V:$V)+AS19</f>
        <v>0</v>
      </c>
      <c r="N19" s="57">
        <f>SUMIF(logs!$M:$M,'p&amp;l'!$A19&amp;'p&amp;l'!N$3,logs!$V:$V)+AT19</f>
        <v>0</v>
      </c>
      <c r="O19" s="58">
        <f t="shared" si="0"/>
        <v>0</v>
      </c>
      <c r="Q19" s="44" t="s">
        <v>68</v>
      </c>
      <c r="R19" s="57">
        <f ca="1">SUMIFS(logs!$V:$V,logs!$M:$M,'p&amp;l'!$Q19&amp;'p&amp;l'!R$3,logs!$A:$A,"&gt;"&amp;assumptions!$C$2)</f>
        <v>0</v>
      </c>
      <c r="S19" s="57">
        <f ca="1">SUMIFS(logs!$V:$V,logs!$M:$M,'p&amp;l'!$Q19&amp;'p&amp;l'!S$3,logs!$A:$A,"&gt;"&amp;assumptions!$C$2)</f>
        <v>0</v>
      </c>
      <c r="T19" s="57">
        <f ca="1">SUMIFS(logs!$V:$V,logs!$M:$M,'p&amp;l'!$Q19&amp;'p&amp;l'!T$3,logs!$A:$A,"&gt;"&amp;assumptions!$C$2)</f>
        <v>0</v>
      </c>
      <c r="U19" s="57">
        <f ca="1">SUMIFS(logs!$V:$V,logs!$M:$M,'p&amp;l'!$Q19&amp;'p&amp;l'!U$3,logs!$A:$A,"&gt;"&amp;assumptions!$C$2)</f>
        <v>0</v>
      </c>
      <c r="V19" s="57">
        <f ca="1">SUMIFS(logs!$V:$V,logs!$M:$M,'p&amp;l'!$Q19&amp;'p&amp;l'!V$3,logs!$A:$A,"&gt;"&amp;assumptions!$C$2)</f>
        <v>0</v>
      </c>
      <c r="W19" s="57">
        <f ca="1">SUMIFS(logs!$V:$V,logs!$M:$M,'p&amp;l'!$Q19&amp;'p&amp;l'!W$3,logs!$A:$A,"&gt;"&amp;assumptions!$C$2)</f>
        <v>0</v>
      </c>
      <c r="X19" s="57">
        <f ca="1">SUMIFS(logs!$V:$V,logs!$M:$M,'p&amp;l'!$Q19&amp;'p&amp;l'!X$3,logs!$A:$A,"&gt;"&amp;assumptions!$C$2)</f>
        <v>0</v>
      </c>
      <c r="Y19" s="57">
        <f ca="1">SUMIFS(logs!$V:$V,logs!$M:$M,'p&amp;l'!$Q19&amp;'p&amp;l'!Y$3,logs!$A:$A,"&gt;"&amp;assumptions!$C$2)</f>
        <v>0</v>
      </c>
      <c r="Z19" s="57">
        <f ca="1">SUMIFS(logs!$V:$V,logs!$M:$M,'p&amp;l'!$Q19&amp;'p&amp;l'!Z$3,logs!$A:$A,"&gt;"&amp;assumptions!$C$2)</f>
        <v>0</v>
      </c>
      <c r="AA19" s="57">
        <f ca="1">SUMIFS(logs!$V:$V,logs!$M:$M,'p&amp;l'!$Q19&amp;'p&amp;l'!AA$3,logs!$A:$A,"&gt;"&amp;assumptions!$C$2)</f>
        <v>0</v>
      </c>
      <c r="AB19" s="57">
        <f ca="1">SUMIFS(logs!$V:$V,logs!$M:$M,'p&amp;l'!$Q19&amp;'p&amp;l'!AB$3,logs!$A:$A,"&gt;"&amp;assumptions!$C$2)</f>
        <v>0</v>
      </c>
      <c r="AC19" s="57">
        <f ca="1">SUMIFS(logs!$V:$V,logs!$M:$M,'p&amp;l'!$Q19&amp;'p&amp;l'!AC$3,logs!$A:$A,"&gt;"&amp;assumptions!$C$2)</f>
        <v>0</v>
      </c>
      <c r="AD19" s="57">
        <f ca="1">SUMIFS(logs!$V:$V,logs!$M:$M,'p&amp;l'!$Q19&amp;'p&amp;l'!AD$3,logs!$A:$A,"&gt;"&amp;assumptions!$C$2)</f>
        <v>0</v>
      </c>
      <c r="AE19" s="58">
        <f t="shared" ca="1" si="1"/>
        <v>0</v>
      </c>
      <c r="AG19" s="44" t="s">
        <v>68</v>
      </c>
      <c r="AH19" s="57">
        <f>-SUMIF(logs!$M:$M,'p&amp;l'!$AG19&amp;'p&amp;l'!AH$3,logs!$R:$R)</f>
        <v>0</v>
      </c>
      <c r="AI19" s="57">
        <f>-SUMIF(logs!$M:$M,'p&amp;l'!$AG19&amp;'p&amp;l'!AI$3,logs!$R:$R)</f>
        <v>0</v>
      </c>
      <c r="AJ19" s="57">
        <f>-SUMIF(logs!$M:$M,'p&amp;l'!$AG19&amp;'p&amp;l'!AJ$3,logs!$R:$R)</f>
        <v>0</v>
      </c>
      <c r="AK19" s="57">
        <f>-SUMIF(logs!$M:$M,'p&amp;l'!$AG19&amp;'p&amp;l'!AK$3,logs!$R:$R)</f>
        <v>0</v>
      </c>
      <c r="AL19" s="57">
        <f>-SUMIF(logs!$M:$M,'p&amp;l'!$AG19&amp;'p&amp;l'!AL$3,logs!$R:$R)</f>
        <v>0</v>
      </c>
      <c r="AM19" s="57">
        <f>-SUMIF(logs!$M:$M,'p&amp;l'!$AG19&amp;'p&amp;l'!AM$3,logs!$R:$R)</f>
        <v>0</v>
      </c>
      <c r="AN19" s="57">
        <f>-SUMIF(logs!$M:$M,'p&amp;l'!$AG19&amp;'p&amp;l'!AN$3,logs!$R:$R)</f>
        <v>0</v>
      </c>
      <c r="AO19" s="57">
        <f>-SUMIF(logs!$M:$M,'p&amp;l'!$AG19&amp;'p&amp;l'!AO$3,logs!$R:$R)</f>
        <v>0</v>
      </c>
      <c r="AP19" s="57">
        <f>-SUMIF(logs!$M:$M,'p&amp;l'!$AG19&amp;'p&amp;l'!AP$3,logs!$R:$R)</f>
        <v>0</v>
      </c>
      <c r="AQ19" s="57">
        <f>-SUMIF(logs!$M:$M,'p&amp;l'!$AG19&amp;'p&amp;l'!AQ$3,logs!$R:$R)</f>
        <v>0</v>
      </c>
      <c r="AR19" s="57">
        <f>-SUMIF(logs!$M:$M,'p&amp;l'!$AG19&amp;'p&amp;l'!AR$3,logs!$R:$R)</f>
        <v>0</v>
      </c>
      <c r="AS19" s="57">
        <f>-SUMIF(logs!$M:$M,'p&amp;l'!$AG19&amp;'p&amp;l'!AS$3,logs!$R:$R)</f>
        <v>0</v>
      </c>
      <c r="AT19" s="57">
        <f>-SUMIF(logs!$M:$M,'p&amp;l'!$AG19&amp;'p&amp;l'!AT$3,logs!$R:$R)</f>
        <v>0</v>
      </c>
      <c r="AU19" s="58">
        <f t="shared" si="2"/>
        <v>0</v>
      </c>
    </row>
    <row r="20" spans="1:47" x14ac:dyDescent="0.35">
      <c r="A20" s="44" t="s">
        <v>72</v>
      </c>
      <c r="B20" s="57">
        <f>SUMIF(logs!$M:$M,'p&amp;l'!$A20&amp;'p&amp;l'!B$3,logs!$V:$V)+AH20</f>
        <v>0</v>
      </c>
      <c r="C20" s="57">
        <f>SUMIF(logs!$M:$M,'p&amp;l'!$A20&amp;'p&amp;l'!C$3,logs!$V:$V)+AI20</f>
        <v>0</v>
      </c>
      <c r="D20" s="57">
        <f>SUMIF(logs!$M:$M,'p&amp;l'!$A20&amp;'p&amp;l'!D$3,logs!$V:$V)+AJ20</f>
        <v>0</v>
      </c>
      <c r="E20" s="57">
        <f>SUMIF(logs!$M:$M,'p&amp;l'!$A20&amp;'p&amp;l'!E$3,logs!$V:$V)+AK20</f>
        <v>-298556</v>
      </c>
      <c r="F20" s="57">
        <f>SUMIF(logs!$M:$M,'p&amp;l'!$A20&amp;'p&amp;l'!F$3,logs!$V:$V)+AL20</f>
        <v>0</v>
      </c>
      <c r="G20" s="57">
        <f>SUMIF(logs!$M:$M,'p&amp;l'!$A20&amp;'p&amp;l'!G$3,logs!$V:$V)+AM20</f>
        <v>0</v>
      </c>
      <c r="H20" s="57">
        <f>SUMIF(logs!$M:$M,'p&amp;l'!$A20&amp;'p&amp;l'!H$3,logs!$V:$V)+AN20</f>
        <v>0</v>
      </c>
      <c r="I20" s="57">
        <f>SUMIF(logs!$M:$M,'p&amp;l'!$A20&amp;'p&amp;l'!I$3,logs!$V:$V)+AO20</f>
        <v>0</v>
      </c>
      <c r="J20" s="57">
        <f>SUMIF(logs!$M:$M,'p&amp;l'!$A20&amp;'p&amp;l'!J$3,logs!$V:$V)+AP20</f>
        <v>0</v>
      </c>
      <c r="K20" s="57">
        <f>SUMIF(logs!$M:$M,'p&amp;l'!$A20&amp;'p&amp;l'!K$3,logs!$V:$V)+AQ20</f>
        <v>81944</v>
      </c>
      <c r="L20" s="57">
        <f>SUMIF(logs!$M:$M,'p&amp;l'!$A20&amp;'p&amp;l'!L$3,logs!$V:$V)+AR20</f>
        <v>0</v>
      </c>
      <c r="M20" s="57">
        <f>SUMIF(logs!$M:$M,'p&amp;l'!$A20&amp;'p&amp;l'!M$3,logs!$V:$V)+AS20</f>
        <v>0</v>
      </c>
      <c r="N20" s="57">
        <f>SUMIF(logs!$M:$M,'p&amp;l'!$A20&amp;'p&amp;l'!N$3,logs!$V:$V)+AT20</f>
        <v>0</v>
      </c>
      <c r="O20" s="58">
        <f t="shared" si="0"/>
        <v>-216612</v>
      </c>
      <c r="Q20" s="44" t="s">
        <v>72</v>
      </c>
      <c r="R20" s="57">
        <f ca="1">SUMIFS(logs!$V:$V,logs!$M:$M,'p&amp;l'!$Q20&amp;'p&amp;l'!R$3,logs!$A:$A,"&gt;"&amp;assumptions!$C$2)</f>
        <v>0</v>
      </c>
      <c r="S20" s="57">
        <f ca="1">SUMIFS(logs!$V:$V,logs!$M:$M,'p&amp;l'!$Q20&amp;'p&amp;l'!S$3,logs!$A:$A,"&gt;"&amp;assumptions!$C$2)</f>
        <v>0</v>
      </c>
      <c r="T20" s="57">
        <f ca="1">SUMIFS(logs!$V:$V,logs!$M:$M,'p&amp;l'!$Q20&amp;'p&amp;l'!T$3,logs!$A:$A,"&gt;"&amp;assumptions!$C$2)</f>
        <v>0</v>
      </c>
      <c r="U20" s="57">
        <f ca="1">SUMIFS(logs!$V:$V,logs!$M:$M,'p&amp;l'!$Q20&amp;'p&amp;l'!U$3,logs!$A:$A,"&gt;"&amp;assumptions!$C$2)</f>
        <v>-46500</v>
      </c>
      <c r="V20" s="57">
        <f ca="1">SUMIFS(logs!$V:$V,logs!$M:$M,'p&amp;l'!$Q20&amp;'p&amp;l'!V$3,logs!$A:$A,"&gt;"&amp;assumptions!$C$2)</f>
        <v>0</v>
      </c>
      <c r="W20" s="57">
        <f ca="1">SUMIFS(logs!$V:$V,logs!$M:$M,'p&amp;l'!$Q20&amp;'p&amp;l'!W$3,logs!$A:$A,"&gt;"&amp;assumptions!$C$2)</f>
        <v>0</v>
      </c>
      <c r="X20" s="57">
        <f ca="1">SUMIFS(logs!$V:$V,logs!$M:$M,'p&amp;l'!$Q20&amp;'p&amp;l'!X$3,logs!$A:$A,"&gt;"&amp;assumptions!$C$2)</f>
        <v>0</v>
      </c>
      <c r="Y20" s="57">
        <f ca="1">SUMIFS(logs!$V:$V,logs!$M:$M,'p&amp;l'!$Q20&amp;'p&amp;l'!Y$3,logs!$A:$A,"&gt;"&amp;assumptions!$C$2)</f>
        <v>0</v>
      </c>
      <c r="Z20" s="57">
        <f ca="1">SUMIFS(logs!$V:$V,logs!$M:$M,'p&amp;l'!$Q20&amp;'p&amp;l'!Z$3,logs!$A:$A,"&gt;"&amp;assumptions!$C$2)</f>
        <v>0</v>
      </c>
      <c r="AA20" s="57">
        <f ca="1">SUMIFS(logs!$V:$V,logs!$M:$M,'p&amp;l'!$Q20&amp;'p&amp;l'!AA$3,logs!$A:$A,"&gt;"&amp;assumptions!$C$2)</f>
        <v>-60000</v>
      </c>
      <c r="AB20" s="57">
        <f ca="1">SUMIFS(logs!$V:$V,logs!$M:$M,'p&amp;l'!$Q20&amp;'p&amp;l'!AB$3,logs!$A:$A,"&gt;"&amp;assumptions!$C$2)</f>
        <v>0</v>
      </c>
      <c r="AC20" s="57">
        <f ca="1">SUMIFS(logs!$V:$V,logs!$M:$M,'p&amp;l'!$Q20&amp;'p&amp;l'!AC$3,logs!$A:$A,"&gt;"&amp;assumptions!$C$2)</f>
        <v>0</v>
      </c>
      <c r="AD20" s="57">
        <f ca="1">SUMIFS(logs!$V:$V,logs!$M:$M,'p&amp;l'!$Q20&amp;'p&amp;l'!AD$3,logs!$A:$A,"&gt;"&amp;assumptions!$C$2)</f>
        <v>0</v>
      </c>
      <c r="AE20" s="58">
        <f t="shared" ca="1" si="1"/>
        <v>-106500</v>
      </c>
      <c r="AG20" s="44" t="s">
        <v>72</v>
      </c>
      <c r="AH20" s="57">
        <f>-SUMIF(logs!$M:$M,'p&amp;l'!$AG20&amp;'p&amp;l'!AH$3,logs!$R:$R)</f>
        <v>0</v>
      </c>
      <c r="AI20" s="57">
        <f>-SUMIF(logs!$M:$M,'p&amp;l'!$AG20&amp;'p&amp;l'!AI$3,logs!$R:$R)</f>
        <v>0</v>
      </c>
      <c r="AJ20" s="57">
        <f>-SUMIF(logs!$M:$M,'p&amp;l'!$AG20&amp;'p&amp;l'!AJ$3,logs!$R:$R)</f>
        <v>0</v>
      </c>
      <c r="AK20" s="57">
        <f>-SUMIF(logs!$M:$M,'p&amp;l'!$AG20&amp;'p&amp;l'!AK$3,logs!$R:$R)</f>
        <v>-55.999999999999993</v>
      </c>
      <c r="AL20" s="57">
        <f>-SUMIF(logs!$M:$M,'p&amp;l'!$AG20&amp;'p&amp;l'!AL$3,logs!$R:$R)</f>
        <v>0</v>
      </c>
      <c r="AM20" s="57">
        <f>-SUMIF(logs!$M:$M,'p&amp;l'!$AG20&amp;'p&amp;l'!AM$3,logs!$R:$R)</f>
        <v>0</v>
      </c>
      <c r="AN20" s="57">
        <f>-SUMIF(logs!$M:$M,'p&amp;l'!$AG20&amp;'p&amp;l'!AN$3,logs!$R:$R)</f>
        <v>0</v>
      </c>
      <c r="AO20" s="57">
        <f>-SUMIF(logs!$M:$M,'p&amp;l'!$AG20&amp;'p&amp;l'!AO$3,logs!$R:$R)</f>
        <v>0</v>
      </c>
      <c r="AP20" s="57">
        <f>-SUMIF(logs!$M:$M,'p&amp;l'!$AG20&amp;'p&amp;l'!AP$3,logs!$R:$R)</f>
        <v>0</v>
      </c>
      <c r="AQ20" s="57">
        <f>-SUMIF(logs!$M:$M,'p&amp;l'!$AG20&amp;'p&amp;l'!AQ$3,logs!$R:$R)</f>
        <v>-55.999999999999993</v>
      </c>
      <c r="AR20" s="57">
        <f>-SUMIF(logs!$M:$M,'p&amp;l'!$AG20&amp;'p&amp;l'!AR$3,logs!$R:$R)</f>
        <v>0</v>
      </c>
      <c r="AS20" s="57">
        <f>-SUMIF(logs!$M:$M,'p&amp;l'!$AG20&amp;'p&amp;l'!AS$3,logs!$R:$R)</f>
        <v>0</v>
      </c>
      <c r="AT20" s="57">
        <f>-SUMIF(logs!$M:$M,'p&amp;l'!$AG20&amp;'p&amp;l'!AT$3,logs!$R:$R)</f>
        <v>0</v>
      </c>
      <c r="AU20" s="58">
        <f t="shared" si="2"/>
        <v>-111.99999999999999</v>
      </c>
    </row>
    <row r="21" spans="1:47" x14ac:dyDescent="0.35">
      <c r="A21" s="44" t="s">
        <v>75</v>
      </c>
      <c r="B21" s="57">
        <f>SUMIF(logs!$M:$M,'p&amp;l'!$A21&amp;'p&amp;l'!B$3,logs!$V:$V)+AH21</f>
        <v>0</v>
      </c>
      <c r="C21" s="57">
        <f>SUMIF(logs!$M:$M,'p&amp;l'!$A21&amp;'p&amp;l'!C$3,logs!$V:$V)+AI21</f>
        <v>0</v>
      </c>
      <c r="D21" s="57">
        <f>SUMIF(logs!$M:$M,'p&amp;l'!$A21&amp;'p&amp;l'!D$3,logs!$V:$V)+AJ21</f>
        <v>0</v>
      </c>
      <c r="E21" s="57">
        <f>SUMIF(logs!$M:$M,'p&amp;l'!$A21&amp;'p&amp;l'!E$3,logs!$V:$V)+AK21</f>
        <v>0</v>
      </c>
      <c r="F21" s="57">
        <f>SUMIF(logs!$M:$M,'p&amp;l'!$A21&amp;'p&amp;l'!F$3,logs!$V:$V)+AL21</f>
        <v>0</v>
      </c>
      <c r="G21" s="57">
        <f>SUMIF(logs!$M:$M,'p&amp;l'!$A21&amp;'p&amp;l'!G$3,logs!$V:$V)+AM21</f>
        <v>0</v>
      </c>
      <c r="H21" s="57">
        <f>SUMIF(logs!$M:$M,'p&amp;l'!$A21&amp;'p&amp;l'!H$3,logs!$V:$V)+AN21</f>
        <v>0</v>
      </c>
      <c r="I21" s="57">
        <f>SUMIF(logs!$M:$M,'p&amp;l'!$A21&amp;'p&amp;l'!I$3,logs!$V:$V)+AO21</f>
        <v>0</v>
      </c>
      <c r="J21" s="57">
        <f>SUMIF(logs!$M:$M,'p&amp;l'!$A21&amp;'p&amp;l'!J$3,logs!$V:$V)+AP21</f>
        <v>0</v>
      </c>
      <c r="K21" s="57">
        <f>SUMIF(logs!$M:$M,'p&amp;l'!$A21&amp;'p&amp;l'!K$3,logs!$V:$V)+AQ21</f>
        <v>0</v>
      </c>
      <c r="L21" s="57">
        <f>SUMIF(logs!$M:$M,'p&amp;l'!$A21&amp;'p&amp;l'!L$3,logs!$V:$V)+AR21</f>
        <v>0</v>
      </c>
      <c r="M21" s="57">
        <f>SUMIF(logs!$M:$M,'p&amp;l'!$A21&amp;'p&amp;l'!M$3,logs!$V:$V)+AS21</f>
        <v>0</v>
      </c>
      <c r="N21" s="57">
        <f>SUMIF(logs!$M:$M,'p&amp;l'!$A21&amp;'p&amp;l'!N$3,logs!$V:$V)+AT21</f>
        <v>0</v>
      </c>
      <c r="O21" s="58">
        <f t="shared" si="0"/>
        <v>0</v>
      </c>
      <c r="Q21" s="44" t="s">
        <v>75</v>
      </c>
      <c r="R21" s="57">
        <f ca="1">SUMIFS(logs!$V:$V,logs!$M:$M,'p&amp;l'!$Q21&amp;'p&amp;l'!R$3,logs!$A:$A,"&gt;"&amp;assumptions!$C$2)</f>
        <v>0</v>
      </c>
      <c r="S21" s="57">
        <f ca="1">SUMIFS(logs!$V:$V,logs!$M:$M,'p&amp;l'!$Q21&amp;'p&amp;l'!S$3,logs!$A:$A,"&gt;"&amp;assumptions!$C$2)</f>
        <v>0</v>
      </c>
      <c r="T21" s="57">
        <f ca="1">SUMIFS(logs!$V:$V,logs!$M:$M,'p&amp;l'!$Q21&amp;'p&amp;l'!T$3,logs!$A:$A,"&gt;"&amp;assumptions!$C$2)</f>
        <v>0</v>
      </c>
      <c r="U21" s="57">
        <f ca="1">SUMIFS(logs!$V:$V,logs!$M:$M,'p&amp;l'!$Q21&amp;'p&amp;l'!U$3,logs!$A:$A,"&gt;"&amp;assumptions!$C$2)</f>
        <v>0</v>
      </c>
      <c r="V21" s="57">
        <f ca="1">SUMIFS(logs!$V:$V,logs!$M:$M,'p&amp;l'!$Q21&amp;'p&amp;l'!V$3,logs!$A:$A,"&gt;"&amp;assumptions!$C$2)</f>
        <v>0</v>
      </c>
      <c r="W21" s="57">
        <f ca="1">SUMIFS(logs!$V:$V,logs!$M:$M,'p&amp;l'!$Q21&amp;'p&amp;l'!W$3,logs!$A:$A,"&gt;"&amp;assumptions!$C$2)</f>
        <v>0</v>
      </c>
      <c r="X21" s="57">
        <f ca="1">SUMIFS(logs!$V:$V,logs!$M:$M,'p&amp;l'!$Q21&amp;'p&amp;l'!X$3,logs!$A:$A,"&gt;"&amp;assumptions!$C$2)</f>
        <v>0</v>
      </c>
      <c r="Y21" s="57">
        <f ca="1">SUMIFS(logs!$V:$V,logs!$M:$M,'p&amp;l'!$Q21&amp;'p&amp;l'!Y$3,logs!$A:$A,"&gt;"&amp;assumptions!$C$2)</f>
        <v>0</v>
      </c>
      <c r="Z21" s="57">
        <f ca="1">SUMIFS(logs!$V:$V,logs!$M:$M,'p&amp;l'!$Q21&amp;'p&amp;l'!Z$3,logs!$A:$A,"&gt;"&amp;assumptions!$C$2)</f>
        <v>0</v>
      </c>
      <c r="AA21" s="57">
        <f ca="1">SUMIFS(logs!$V:$V,logs!$M:$M,'p&amp;l'!$Q21&amp;'p&amp;l'!AA$3,logs!$A:$A,"&gt;"&amp;assumptions!$C$2)</f>
        <v>0</v>
      </c>
      <c r="AB21" s="57">
        <f ca="1">SUMIFS(logs!$V:$V,logs!$M:$M,'p&amp;l'!$Q21&amp;'p&amp;l'!AB$3,logs!$A:$A,"&gt;"&amp;assumptions!$C$2)</f>
        <v>0</v>
      </c>
      <c r="AC21" s="57">
        <f ca="1">SUMIFS(logs!$V:$V,logs!$M:$M,'p&amp;l'!$Q21&amp;'p&amp;l'!AC$3,logs!$A:$A,"&gt;"&amp;assumptions!$C$2)</f>
        <v>0</v>
      </c>
      <c r="AD21" s="57">
        <f ca="1">SUMIFS(logs!$V:$V,logs!$M:$M,'p&amp;l'!$Q21&amp;'p&amp;l'!AD$3,logs!$A:$A,"&gt;"&amp;assumptions!$C$2)</f>
        <v>0</v>
      </c>
      <c r="AE21" s="58">
        <f t="shared" ca="1" si="1"/>
        <v>0</v>
      </c>
      <c r="AG21" s="44" t="s">
        <v>75</v>
      </c>
      <c r="AH21" s="57">
        <f>-SUMIF(logs!$M:$M,'p&amp;l'!$AG21&amp;'p&amp;l'!AH$3,logs!$R:$R)</f>
        <v>0</v>
      </c>
      <c r="AI21" s="57">
        <f>-SUMIF(logs!$M:$M,'p&amp;l'!$AG21&amp;'p&amp;l'!AI$3,logs!$R:$R)</f>
        <v>0</v>
      </c>
      <c r="AJ21" s="57">
        <f>-SUMIF(logs!$M:$M,'p&amp;l'!$AG21&amp;'p&amp;l'!AJ$3,logs!$R:$R)</f>
        <v>0</v>
      </c>
      <c r="AK21" s="57">
        <f>-SUMIF(logs!$M:$M,'p&amp;l'!$AG21&amp;'p&amp;l'!AK$3,logs!$R:$R)</f>
        <v>0</v>
      </c>
      <c r="AL21" s="57">
        <f>-SUMIF(logs!$M:$M,'p&amp;l'!$AG21&amp;'p&amp;l'!AL$3,logs!$R:$R)</f>
        <v>0</v>
      </c>
      <c r="AM21" s="57">
        <f>-SUMIF(logs!$M:$M,'p&amp;l'!$AG21&amp;'p&amp;l'!AM$3,logs!$R:$R)</f>
        <v>0</v>
      </c>
      <c r="AN21" s="57">
        <f>-SUMIF(logs!$M:$M,'p&amp;l'!$AG21&amp;'p&amp;l'!AN$3,logs!$R:$R)</f>
        <v>0</v>
      </c>
      <c r="AO21" s="57">
        <f>-SUMIF(logs!$M:$M,'p&amp;l'!$AG21&amp;'p&amp;l'!AO$3,logs!$R:$R)</f>
        <v>0</v>
      </c>
      <c r="AP21" s="57">
        <f>-SUMIF(logs!$M:$M,'p&amp;l'!$AG21&amp;'p&amp;l'!AP$3,logs!$R:$R)</f>
        <v>0</v>
      </c>
      <c r="AQ21" s="57">
        <f>-SUMIF(logs!$M:$M,'p&amp;l'!$AG21&amp;'p&amp;l'!AQ$3,logs!$R:$R)</f>
        <v>0</v>
      </c>
      <c r="AR21" s="57">
        <f>-SUMIF(logs!$M:$M,'p&amp;l'!$AG21&amp;'p&amp;l'!AR$3,logs!$R:$R)</f>
        <v>0</v>
      </c>
      <c r="AS21" s="57">
        <f>-SUMIF(logs!$M:$M,'p&amp;l'!$AG21&amp;'p&amp;l'!AS$3,logs!$R:$R)</f>
        <v>0</v>
      </c>
      <c r="AT21" s="57">
        <f>-SUMIF(logs!$M:$M,'p&amp;l'!$AG21&amp;'p&amp;l'!AT$3,logs!$R:$R)</f>
        <v>0</v>
      </c>
      <c r="AU21" s="58">
        <f t="shared" si="2"/>
        <v>0</v>
      </c>
    </row>
    <row r="22" spans="1:47" x14ac:dyDescent="0.35">
      <c r="A22" s="45" t="s">
        <v>78</v>
      </c>
      <c r="B22" s="59">
        <f>SUMIF(logs!$M:$M,'p&amp;l'!$A22&amp;'p&amp;l'!B$3,logs!$V:$V)+AH22</f>
        <v>0</v>
      </c>
      <c r="C22" s="59">
        <f>SUMIF(logs!$M:$M,'p&amp;l'!$A22&amp;'p&amp;l'!C$3,logs!$V:$V)+AI22</f>
        <v>0</v>
      </c>
      <c r="D22" s="59">
        <f>SUMIF(logs!$M:$M,'p&amp;l'!$A22&amp;'p&amp;l'!D$3,logs!$V:$V)+AJ22</f>
        <v>0</v>
      </c>
      <c r="E22" s="59">
        <f>SUMIF(logs!$M:$M,'p&amp;l'!$A22&amp;'p&amp;l'!E$3,logs!$V:$V)+AK22</f>
        <v>0</v>
      </c>
      <c r="F22" s="59">
        <f>SUMIF(logs!$M:$M,'p&amp;l'!$A22&amp;'p&amp;l'!F$3,logs!$V:$V)+AL22</f>
        <v>0</v>
      </c>
      <c r="G22" s="59">
        <f>SUMIF(logs!$M:$M,'p&amp;l'!$A22&amp;'p&amp;l'!G$3,logs!$V:$V)+AM22</f>
        <v>0</v>
      </c>
      <c r="H22" s="59">
        <f>SUMIF(logs!$M:$M,'p&amp;l'!$A22&amp;'p&amp;l'!H$3,logs!$V:$V)+AN22</f>
        <v>0</v>
      </c>
      <c r="I22" s="59">
        <f>SUMIF(logs!$M:$M,'p&amp;l'!$A22&amp;'p&amp;l'!I$3,logs!$V:$V)+AO22</f>
        <v>0</v>
      </c>
      <c r="J22" s="59">
        <f>SUMIF(logs!$M:$M,'p&amp;l'!$A22&amp;'p&amp;l'!J$3,logs!$V:$V)+AP22</f>
        <v>0</v>
      </c>
      <c r="K22" s="59">
        <f>SUMIF(logs!$M:$M,'p&amp;l'!$A22&amp;'p&amp;l'!K$3,logs!$V:$V)+AQ22</f>
        <v>0</v>
      </c>
      <c r="L22" s="59">
        <f>SUMIF(logs!$M:$M,'p&amp;l'!$A22&amp;'p&amp;l'!L$3,logs!$V:$V)+AR22</f>
        <v>0</v>
      </c>
      <c r="M22" s="59">
        <f>SUMIF(logs!$M:$M,'p&amp;l'!$A22&amp;'p&amp;l'!M$3,logs!$V:$V)+AS22</f>
        <v>0</v>
      </c>
      <c r="N22" s="59">
        <f>SUMIF(logs!$M:$M,'p&amp;l'!$A22&amp;'p&amp;l'!N$3,logs!$V:$V)+AT22</f>
        <v>0</v>
      </c>
      <c r="O22" s="60">
        <f t="shared" si="0"/>
        <v>0</v>
      </c>
      <c r="Q22" s="45" t="s">
        <v>78</v>
      </c>
      <c r="R22" s="59">
        <f ca="1">SUMIFS(logs!$V:$V,logs!$M:$M,'p&amp;l'!$Q22&amp;'p&amp;l'!R$3,logs!$A:$A,"&gt;"&amp;assumptions!$C$2)</f>
        <v>0</v>
      </c>
      <c r="S22" s="59">
        <f ca="1">SUMIFS(logs!$V:$V,logs!$M:$M,'p&amp;l'!$Q22&amp;'p&amp;l'!S$3,logs!$A:$A,"&gt;"&amp;assumptions!$C$2)</f>
        <v>0</v>
      </c>
      <c r="T22" s="59">
        <f ca="1">SUMIFS(logs!$V:$V,logs!$M:$M,'p&amp;l'!$Q22&amp;'p&amp;l'!T$3,logs!$A:$A,"&gt;"&amp;assumptions!$C$2)</f>
        <v>0</v>
      </c>
      <c r="U22" s="59">
        <f ca="1">SUMIFS(logs!$V:$V,logs!$M:$M,'p&amp;l'!$Q22&amp;'p&amp;l'!U$3,logs!$A:$A,"&gt;"&amp;assumptions!$C$2)</f>
        <v>0</v>
      </c>
      <c r="V22" s="59">
        <f ca="1">SUMIFS(logs!$V:$V,logs!$M:$M,'p&amp;l'!$Q22&amp;'p&amp;l'!V$3,logs!$A:$A,"&gt;"&amp;assumptions!$C$2)</f>
        <v>0</v>
      </c>
      <c r="W22" s="59">
        <f ca="1">SUMIFS(logs!$V:$V,logs!$M:$M,'p&amp;l'!$Q22&amp;'p&amp;l'!W$3,logs!$A:$A,"&gt;"&amp;assumptions!$C$2)</f>
        <v>0</v>
      </c>
      <c r="X22" s="59">
        <f ca="1">SUMIFS(logs!$V:$V,logs!$M:$M,'p&amp;l'!$Q22&amp;'p&amp;l'!X$3,logs!$A:$A,"&gt;"&amp;assumptions!$C$2)</f>
        <v>0</v>
      </c>
      <c r="Y22" s="59">
        <f ca="1">SUMIFS(logs!$V:$V,logs!$M:$M,'p&amp;l'!$Q22&amp;'p&amp;l'!Y$3,logs!$A:$A,"&gt;"&amp;assumptions!$C$2)</f>
        <v>0</v>
      </c>
      <c r="Z22" s="59">
        <f ca="1">SUMIFS(logs!$V:$V,logs!$M:$M,'p&amp;l'!$Q22&amp;'p&amp;l'!Z$3,logs!$A:$A,"&gt;"&amp;assumptions!$C$2)</f>
        <v>0</v>
      </c>
      <c r="AA22" s="59">
        <f ca="1">SUMIFS(logs!$V:$V,logs!$M:$M,'p&amp;l'!$Q22&amp;'p&amp;l'!AA$3,logs!$A:$A,"&gt;"&amp;assumptions!$C$2)</f>
        <v>0</v>
      </c>
      <c r="AB22" s="59">
        <f ca="1">SUMIFS(logs!$V:$V,logs!$M:$M,'p&amp;l'!$Q22&amp;'p&amp;l'!AB$3,logs!$A:$A,"&gt;"&amp;assumptions!$C$2)</f>
        <v>0</v>
      </c>
      <c r="AC22" s="59">
        <f ca="1">SUMIFS(logs!$V:$V,logs!$M:$M,'p&amp;l'!$Q22&amp;'p&amp;l'!AC$3,logs!$A:$A,"&gt;"&amp;assumptions!$C$2)</f>
        <v>0</v>
      </c>
      <c r="AD22" s="59">
        <f ca="1">SUMIFS(logs!$V:$V,logs!$M:$M,'p&amp;l'!$Q22&amp;'p&amp;l'!AD$3,logs!$A:$A,"&gt;"&amp;assumptions!$C$2)</f>
        <v>0</v>
      </c>
      <c r="AE22" s="60">
        <f t="shared" ca="1" si="1"/>
        <v>0</v>
      </c>
      <c r="AG22" s="45" t="s">
        <v>78</v>
      </c>
      <c r="AH22" s="59">
        <f>-SUMIF(logs!$M:$M,'p&amp;l'!$AG22&amp;'p&amp;l'!AH$3,logs!$R:$R)</f>
        <v>0</v>
      </c>
      <c r="AI22" s="59">
        <f>-SUMIF(logs!$M:$M,'p&amp;l'!$AG22&amp;'p&amp;l'!AI$3,logs!$R:$R)</f>
        <v>0</v>
      </c>
      <c r="AJ22" s="59">
        <f>-SUMIF(logs!$M:$M,'p&amp;l'!$AG22&amp;'p&amp;l'!AJ$3,logs!$R:$R)</f>
        <v>0</v>
      </c>
      <c r="AK22" s="59">
        <f>-SUMIF(logs!$M:$M,'p&amp;l'!$AG22&amp;'p&amp;l'!AK$3,logs!$R:$R)</f>
        <v>0</v>
      </c>
      <c r="AL22" s="59">
        <f>-SUMIF(logs!$M:$M,'p&amp;l'!$AG22&amp;'p&amp;l'!AL$3,logs!$R:$R)</f>
        <v>0</v>
      </c>
      <c r="AM22" s="59">
        <f>-SUMIF(logs!$M:$M,'p&amp;l'!$AG22&amp;'p&amp;l'!AM$3,logs!$R:$R)</f>
        <v>0</v>
      </c>
      <c r="AN22" s="59">
        <f>-SUMIF(logs!$M:$M,'p&amp;l'!$AG22&amp;'p&amp;l'!AN$3,logs!$R:$R)</f>
        <v>0</v>
      </c>
      <c r="AO22" s="59">
        <f>-SUMIF(logs!$M:$M,'p&amp;l'!$AG22&amp;'p&amp;l'!AO$3,logs!$R:$R)</f>
        <v>0</v>
      </c>
      <c r="AP22" s="59">
        <f>-SUMIF(logs!$M:$M,'p&amp;l'!$AG22&amp;'p&amp;l'!AP$3,logs!$R:$R)</f>
        <v>0</v>
      </c>
      <c r="AQ22" s="59">
        <f>-SUMIF(logs!$M:$M,'p&amp;l'!$AG22&amp;'p&amp;l'!AQ$3,logs!$R:$R)</f>
        <v>0</v>
      </c>
      <c r="AR22" s="59">
        <f>-SUMIF(logs!$M:$M,'p&amp;l'!$AG22&amp;'p&amp;l'!AR$3,logs!$R:$R)</f>
        <v>0</v>
      </c>
      <c r="AS22" s="59">
        <f>-SUMIF(logs!$M:$M,'p&amp;l'!$AG22&amp;'p&amp;l'!AS$3,logs!$R:$R)</f>
        <v>0</v>
      </c>
      <c r="AT22" s="59">
        <f>-SUMIF(logs!$M:$M,'p&amp;l'!$AG22&amp;'p&amp;l'!AT$3,logs!$R:$R)</f>
        <v>0</v>
      </c>
      <c r="AU22" s="60">
        <f t="shared" si="2"/>
        <v>0</v>
      </c>
    </row>
    <row r="23" spans="1:47" x14ac:dyDescent="0.35">
      <c r="A23" s="56" t="s">
        <v>93</v>
      </c>
      <c r="B23" s="61">
        <f>SUMIF(logs!$M:$M,'p&amp;l'!$A23&amp;'p&amp;l'!B$3,logs!$V:$V)+AH23</f>
        <v>0</v>
      </c>
      <c r="C23" s="61">
        <f>SUMIF(logs!$M:$M,'p&amp;l'!$A23&amp;'p&amp;l'!C$3,logs!$V:$V)+AI23</f>
        <v>0</v>
      </c>
      <c r="D23" s="61">
        <f>SUMIF(logs!$M:$M,'p&amp;l'!$A23&amp;'p&amp;l'!D$3,logs!$V:$V)+AJ23</f>
        <v>0</v>
      </c>
      <c r="E23" s="61">
        <f>SUMIF(logs!$M:$M,'p&amp;l'!$A23&amp;'p&amp;l'!E$3,logs!$V:$V)+AK23</f>
        <v>0</v>
      </c>
      <c r="F23" s="61">
        <f>SUMIF(logs!$M:$M,'p&amp;l'!$A23&amp;'p&amp;l'!F$3,logs!$V:$V)+AL23</f>
        <v>0</v>
      </c>
      <c r="G23" s="61">
        <f>SUMIF(logs!$M:$M,'p&amp;l'!$A23&amp;'p&amp;l'!G$3,logs!$V:$V)+AM23</f>
        <v>0</v>
      </c>
      <c r="H23" s="61">
        <f>SUMIF(logs!$M:$M,'p&amp;l'!$A23&amp;'p&amp;l'!H$3,logs!$V:$V)+AN23</f>
        <v>0</v>
      </c>
      <c r="I23" s="61">
        <f>SUMIF(logs!$M:$M,'p&amp;l'!$A23&amp;'p&amp;l'!I$3,logs!$V:$V)+AO23</f>
        <v>0</v>
      </c>
      <c r="J23" s="61">
        <f>SUMIF(logs!$M:$M,'p&amp;l'!$A23&amp;'p&amp;l'!J$3,logs!$V:$V)+AP23</f>
        <v>0</v>
      </c>
      <c r="K23" s="61">
        <f>SUMIF(logs!$M:$M,'p&amp;l'!$A23&amp;'p&amp;l'!K$3,logs!$V:$V)+AQ23</f>
        <v>0</v>
      </c>
      <c r="L23" s="61">
        <f>SUMIF(logs!$M:$M,'p&amp;l'!$A23&amp;'p&amp;l'!L$3,logs!$V:$V)+AR23</f>
        <v>0</v>
      </c>
      <c r="M23" s="61">
        <f>SUMIF(logs!$M:$M,'p&amp;l'!$A23&amp;'p&amp;l'!M$3,logs!$V:$V)+AS23</f>
        <v>0</v>
      </c>
      <c r="N23" s="61">
        <f>SUMIF(logs!$M:$M,'p&amp;l'!$A23&amp;'p&amp;l'!N$3,logs!$V:$V)+AT23</f>
        <v>0</v>
      </c>
      <c r="O23" s="62">
        <f t="shared" si="0"/>
        <v>0</v>
      </c>
      <c r="Q23" s="56" t="s">
        <v>93</v>
      </c>
      <c r="R23" s="61">
        <f ca="1">SUMIFS(logs!$V:$V,logs!$M:$M,'p&amp;l'!$Q23&amp;'p&amp;l'!R$3,logs!$A:$A,"&gt;"&amp;assumptions!$C$2)</f>
        <v>0</v>
      </c>
      <c r="S23" s="61">
        <f ca="1">SUMIFS(logs!$V:$V,logs!$M:$M,'p&amp;l'!$Q23&amp;'p&amp;l'!S$3,logs!$A:$A,"&gt;"&amp;assumptions!$C$2)</f>
        <v>0</v>
      </c>
      <c r="T23" s="61">
        <f ca="1">SUMIFS(logs!$V:$V,logs!$M:$M,'p&amp;l'!$Q23&amp;'p&amp;l'!T$3,logs!$A:$A,"&gt;"&amp;assumptions!$C$2)</f>
        <v>0</v>
      </c>
      <c r="U23" s="61">
        <f ca="1">SUMIFS(logs!$V:$V,logs!$M:$M,'p&amp;l'!$Q23&amp;'p&amp;l'!U$3,logs!$A:$A,"&gt;"&amp;assumptions!$C$2)</f>
        <v>0</v>
      </c>
      <c r="V23" s="61">
        <f ca="1">SUMIFS(logs!$V:$V,logs!$M:$M,'p&amp;l'!$Q23&amp;'p&amp;l'!V$3,logs!$A:$A,"&gt;"&amp;assumptions!$C$2)</f>
        <v>0</v>
      </c>
      <c r="W23" s="61">
        <f ca="1">SUMIFS(logs!$V:$V,logs!$M:$M,'p&amp;l'!$Q23&amp;'p&amp;l'!W$3,logs!$A:$A,"&gt;"&amp;assumptions!$C$2)</f>
        <v>0</v>
      </c>
      <c r="X23" s="61">
        <f ca="1">SUMIFS(logs!$V:$V,logs!$M:$M,'p&amp;l'!$Q23&amp;'p&amp;l'!X$3,logs!$A:$A,"&gt;"&amp;assumptions!$C$2)</f>
        <v>0</v>
      </c>
      <c r="Y23" s="61">
        <f ca="1">SUMIFS(logs!$V:$V,logs!$M:$M,'p&amp;l'!$Q23&amp;'p&amp;l'!Y$3,logs!$A:$A,"&gt;"&amp;assumptions!$C$2)</f>
        <v>0</v>
      </c>
      <c r="Z23" s="61">
        <f ca="1">SUMIFS(logs!$V:$V,logs!$M:$M,'p&amp;l'!$Q23&amp;'p&amp;l'!Z$3,logs!$A:$A,"&gt;"&amp;assumptions!$C$2)</f>
        <v>0</v>
      </c>
      <c r="AA23" s="61">
        <f ca="1">SUMIFS(logs!$V:$V,logs!$M:$M,'p&amp;l'!$Q23&amp;'p&amp;l'!AA$3,logs!$A:$A,"&gt;"&amp;assumptions!$C$2)</f>
        <v>0</v>
      </c>
      <c r="AB23" s="61">
        <f ca="1">SUMIFS(logs!$V:$V,logs!$M:$M,'p&amp;l'!$Q23&amp;'p&amp;l'!AB$3,logs!$A:$A,"&gt;"&amp;assumptions!$C$2)</f>
        <v>0</v>
      </c>
      <c r="AC23" s="61">
        <f ca="1">SUMIFS(logs!$V:$V,logs!$M:$M,'p&amp;l'!$Q23&amp;'p&amp;l'!AC$3,logs!$A:$A,"&gt;"&amp;assumptions!$C$2)</f>
        <v>0</v>
      </c>
      <c r="AD23" s="61">
        <f ca="1">SUMIFS(logs!$V:$V,logs!$M:$M,'p&amp;l'!$Q23&amp;'p&amp;l'!AD$3,logs!$A:$A,"&gt;"&amp;assumptions!$C$2)</f>
        <v>0</v>
      </c>
      <c r="AE23" s="62">
        <f t="shared" ca="1" si="1"/>
        <v>0</v>
      </c>
      <c r="AG23" s="56" t="s">
        <v>93</v>
      </c>
      <c r="AH23" s="61">
        <f>-SUMIF(logs!$M:$M,'p&amp;l'!$AG23&amp;'p&amp;l'!AH$3,logs!$R:$R)</f>
        <v>0</v>
      </c>
      <c r="AI23" s="61">
        <f>-SUMIF(logs!$M:$M,'p&amp;l'!$AG23&amp;'p&amp;l'!AI$3,logs!$R:$R)</f>
        <v>0</v>
      </c>
      <c r="AJ23" s="61">
        <f>-SUMIF(logs!$M:$M,'p&amp;l'!$AG23&amp;'p&amp;l'!AJ$3,logs!$R:$R)</f>
        <v>0</v>
      </c>
      <c r="AK23" s="61">
        <f>-SUMIF(logs!$M:$M,'p&amp;l'!$AG23&amp;'p&amp;l'!AK$3,logs!$R:$R)</f>
        <v>0</v>
      </c>
      <c r="AL23" s="61">
        <f>-SUMIF(logs!$M:$M,'p&amp;l'!$AG23&amp;'p&amp;l'!AL$3,logs!$R:$R)</f>
        <v>0</v>
      </c>
      <c r="AM23" s="61">
        <f>-SUMIF(logs!$M:$M,'p&amp;l'!$AG23&amp;'p&amp;l'!AM$3,logs!$R:$R)</f>
        <v>0</v>
      </c>
      <c r="AN23" s="61">
        <f>-SUMIF(logs!$M:$M,'p&amp;l'!$AG23&amp;'p&amp;l'!AN$3,logs!$R:$R)</f>
        <v>0</v>
      </c>
      <c r="AO23" s="61">
        <f>-SUMIF(logs!$M:$M,'p&amp;l'!$AG23&amp;'p&amp;l'!AO$3,logs!$R:$R)</f>
        <v>0</v>
      </c>
      <c r="AP23" s="61">
        <f>-SUMIF(logs!$M:$M,'p&amp;l'!$AG23&amp;'p&amp;l'!AP$3,logs!$R:$R)</f>
        <v>0</v>
      </c>
      <c r="AQ23" s="61">
        <f>-SUMIF(logs!$M:$M,'p&amp;l'!$AG23&amp;'p&amp;l'!AQ$3,logs!$R:$R)</f>
        <v>0</v>
      </c>
      <c r="AR23" s="61">
        <f>-SUMIF(logs!$M:$M,'p&amp;l'!$AG23&amp;'p&amp;l'!AR$3,logs!$R:$R)</f>
        <v>0</v>
      </c>
      <c r="AS23" s="61">
        <f>-SUMIF(logs!$M:$M,'p&amp;l'!$AG23&amp;'p&amp;l'!AS$3,logs!$R:$R)</f>
        <v>0</v>
      </c>
      <c r="AT23" s="61">
        <f>-SUMIF(logs!$M:$M,'p&amp;l'!$AG23&amp;'p&amp;l'!AT$3,logs!$R:$R)</f>
        <v>0</v>
      </c>
      <c r="AU23" s="62">
        <f t="shared" si="2"/>
        <v>0</v>
      </c>
    </row>
    <row r="24" spans="1:47" x14ac:dyDescent="0.35">
      <c r="A24" s="44" t="s">
        <v>97</v>
      </c>
      <c r="B24" s="57">
        <f>SUMIF(logs!$M:$M,'p&amp;l'!$A24&amp;'p&amp;l'!B$3,logs!$V:$V)+AH24</f>
        <v>0</v>
      </c>
      <c r="C24" s="57">
        <f>SUMIF(logs!$M:$M,'p&amp;l'!$A24&amp;'p&amp;l'!C$3,logs!$V:$V)+AI24</f>
        <v>0</v>
      </c>
      <c r="D24" s="57">
        <f>SUMIF(logs!$M:$M,'p&amp;l'!$A24&amp;'p&amp;l'!D$3,logs!$V:$V)+AJ24</f>
        <v>27268.999999999931</v>
      </c>
      <c r="E24" s="57">
        <f>SUMIF(logs!$M:$M,'p&amp;l'!$A24&amp;'p&amp;l'!E$3,logs!$V:$V)+AK24</f>
        <v>0</v>
      </c>
      <c r="F24" s="57">
        <f>SUMIF(logs!$M:$M,'p&amp;l'!$A24&amp;'p&amp;l'!F$3,logs!$V:$V)+AL24</f>
        <v>0</v>
      </c>
      <c r="G24" s="57">
        <f>SUMIF(logs!$M:$M,'p&amp;l'!$A24&amp;'p&amp;l'!G$3,logs!$V:$V)+AM24</f>
        <v>0</v>
      </c>
      <c r="H24" s="57">
        <f>SUMIF(logs!$M:$M,'p&amp;l'!$A24&amp;'p&amp;l'!H$3,logs!$V:$V)+AN24</f>
        <v>0</v>
      </c>
      <c r="I24" s="57">
        <f>SUMIF(logs!$M:$M,'p&amp;l'!$A24&amp;'p&amp;l'!I$3,logs!$V:$V)+AO24</f>
        <v>21820.500000000033</v>
      </c>
      <c r="J24" s="57">
        <f>SUMIF(logs!$M:$M,'p&amp;l'!$A24&amp;'p&amp;l'!J$3,logs!$V:$V)+AP24</f>
        <v>0</v>
      </c>
      <c r="K24" s="57">
        <f>SUMIF(logs!$M:$M,'p&amp;l'!$A24&amp;'p&amp;l'!K$3,logs!$V:$V)+AQ24</f>
        <v>0</v>
      </c>
      <c r="L24" s="57">
        <f>SUMIF(logs!$M:$M,'p&amp;l'!$A24&amp;'p&amp;l'!L$3,logs!$V:$V)+AR24</f>
        <v>0</v>
      </c>
      <c r="M24" s="57">
        <f>SUMIF(logs!$M:$M,'p&amp;l'!$A24&amp;'p&amp;l'!M$3,logs!$V:$V)+AS24</f>
        <v>0</v>
      </c>
      <c r="N24" s="57">
        <f>SUMIF(logs!$M:$M,'p&amp;l'!$A24&amp;'p&amp;l'!N$3,logs!$V:$V)+AT24</f>
        <v>0</v>
      </c>
      <c r="O24" s="58">
        <f t="shared" si="0"/>
        <v>49089.499999999964</v>
      </c>
      <c r="Q24" s="44" t="s">
        <v>97</v>
      </c>
      <c r="R24" s="57">
        <f ca="1">SUMIFS(logs!$V:$V,logs!$M:$M,'p&amp;l'!$Q24&amp;'p&amp;l'!R$3,logs!$A:$A,"&gt;"&amp;assumptions!$C$2)</f>
        <v>0</v>
      </c>
      <c r="S24" s="57">
        <f ca="1">SUMIFS(logs!$V:$V,logs!$M:$M,'p&amp;l'!$Q24&amp;'p&amp;l'!S$3,logs!$A:$A,"&gt;"&amp;assumptions!$C$2)</f>
        <v>0</v>
      </c>
      <c r="T24" s="57">
        <f ca="1">SUMIFS(logs!$V:$V,logs!$M:$M,'p&amp;l'!$Q24&amp;'p&amp;l'!T$3,logs!$A:$A,"&gt;"&amp;assumptions!$C$2)</f>
        <v>27350.399999999932</v>
      </c>
      <c r="U24" s="57">
        <f ca="1">SUMIFS(logs!$V:$V,logs!$M:$M,'p&amp;l'!$Q24&amp;'p&amp;l'!U$3,logs!$A:$A,"&gt;"&amp;assumptions!$C$2)</f>
        <v>0</v>
      </c>
      <c r="V24" s="57">
        <f ca="1">SUMIFS(logs!$V:$V,logs!$M:$M,'p&amp;l'!$Q24&amp;'p&amp;l'!V$3,logs!$A:$A,"&gt;"&amp;assumptions!$C$2)</f>
        <v>0</v>
      </c>
      <c r="W24" s="57">
        <f ca="1">SUMIFS(logs!$V:$V,logs!$M:$M,'p&amp;l'!$Q24&amp;'p&amp;l'!W$3,logs!$A:$A,"&gt;"&amp;assumptions!$C$2)</f>
        <v>0</v>
      </c>
      <c r="X24" s="57">
        <f ca="1">SUMIFS(logs!$V:$V,logs!$M:$M,'p&amp;l'!$Q24&amp;'p&amp;l'!X$3,logs!$A:$A,"&gt;"&amp;assumptions!$C$2)</f>
        <v>0</v>
      </c>
      <c r="Y24" s="57">
        <f ca="1">SUMIFS(logs!$V:$V,logs!$M:$M,'p&amp;l'!$Q24&amp;'p&amp;l'!Y$3,logs!$A:$A,"&gt;"&amp;assumptions!$C$2)</f>
        <v>19062.40000000002</v>
      </c>
      <c r="Z24" s="57">
        <f ca="1">SUMIFS(logs!$V:$V,logs!$M:$M,'p&amp;l'!$Q24&amp;'p&amp;l'!Z$3,logs!$A:$A,"&gt;"&amp;assumptions!$C$2)</f>
        <v>0</v>
      </c>
      <c r="AA24" s="57">
        <f ca="1">SUMIFS(logs!$V:$V,logs!$M:$M,'p&amp;l'!$Q24&amp;'p&amp;l'!AA$3,logs!$A:$A,"&gt;"&amp;assumptions!$C$2)</f>
        <v>0</v>
      </c>
      <c r="AB24" s="57">
        <f ca="1">SUMIFS(logs!$V:$V,logs!$M:$M,'p&amp;l'!$Q24&amp;'p&amp;l'!AB$3,logs!$A:$A,"&gt;"&amp;assumptions!$C$2)</f>
        <v>0</v>
      </c>
      <c r="AC24" s="57">
        <f ca="1">SUMIFS(logs!$V:$V,logs!$M:$M,'p&amp;l'!$Q24&amp;'p&amp;l'!AC$3,logs!$A:$A,"&gt;"&amp;assumptions!$C$2)</f>
        <v>0</v>
      </c>
      <c r="AD24" s="57">
        <f ca="1">SUMIFS(logs!$V:$V,logs!$M:$M,'p&amp;l'!$Q24&amp;'p&amp;l'!AD$3,logs!$A:$A,"&gt;"&amp;assumptions!$C$2)</f>
        <v>0</v>
      </c>
      <c r="AE24" s="58">
        <f t="shared" ca="1" si="1"/>
        <v>46412.799999999952</v>
      </c>
      <c r="AG24" s="44" t="s">
        <v>97</v>
      </c>
      <c r="AH24" s="57">
        <f>-SUMIF(logs!$M:$M,'p&amp;l'!$AG24&amp;'p&amp;l'!AH$3,logs!$R:$R)</f>
        <v>0</v>
      </c>
      <c r="AI24" s="57">
        <f>-SUMIF(logs!$M:$M,'p&amp;l'!$AG24&amp;'p&amp;l'!AI$3,logs!$R:$R)</f>
        <v>0</v>
      </c>
      <c r="AJ24" s="57">
        <f>-SUMIF(logs!$M:$M,'p&amp;l'!$AG24&amp;'p&amp;l'!AJ$3,logs!$R:$R)</f>
        <v>-81.400000000000006</v>
      </c>
      <c r="AK24" s="57">
        <f>-SUMIF(logs!$M:$M,'p&amp;l'!$AG24&amp;'p&amp;l'!AK$3,logs!$R:$R)</f>
        <v>0</v>
      </c>
      <c r="AL24" s="57">
        <f>-SUMIF(logs!$M:$M,'p&amp;l'!$AG24&amp;'p&amp;l'!AL$3,logs!$R:$R)</f>
        <v>0</v>
      </c>
      <c r="AM24" s="57">
        <f>-SUMIF(logs!$M:$M,'p&amp;l'!$AG24&amp;'p&amp;l'!AM$3,logs!$R:$R)</f>
        <v>0</v>
      </c>
      <c r="AN24" s="57">
        <f>-SUMIF(logs!$M:$M,'p&amp;l'!$AG24&amp;'p&amp;l'!AN$3,logs!$R:$R)</f>
        <v>0</v>
      </c>
      <c r="AO24" s="57">
        <f>-SUMIF(logs!$M:$M,'p&amp;l'!$AG24&amp;'p&amp;l'!AO$3,logs!$R:$R)</f>
        <v>-97.9</v>
      </c>
      <c r="AP24" s="57">
        <f>-SUMIF(logs!$M:$M,'p&amp;l'!$AG24&amp;'p&amp;l'!AP$3,logs!$R:$R)</f>
        <v>0</v>
      </c>
      <c r="AQ24" s="57">
        <f>-SUMIF(logs!$M:$M,'p&amp;l'!$AG24&amp;'p&amp;l'!AQ$3,logs!$R:$R)</f>
        <v>0</v>
      </c>
      <c r="AR24" s="57">
        <f>-SUMIF(logs!$M:$M,'p&amp;l'!$AG24&amp;'p&amp;l'!AR$3,logs!$R:$R)</f>
        <v>0</v>
      </c>
      <c r="AS24" s="57">
        <f>-SUMIF(logs!$M:$M,'p&amp;l'!$AG24&amp;'p&amp;l'!AS$3,logs!$R:$R)</f>
        <v>0</v>
      </c>
      <c r="AT24" s="57">
        <f>-SUMIF(logs!$M:$M,'p&amp;l'!$AG24&amp;'p&amp;l'!AT$3,logs!$R:$R)</f>
        <v>0</v>
      </c>
      <c r="AU24" s="58">
        <f t="shared" si="2"/>
        <v>-179.3</v>
      </c>
    </row>
    <row r="25" spans="1:47" x14ac:dyDescent="0.35">
      <c r="A25" s="44" t="s">
        <v>160</v>
      </c>
      <c r="B25" s="57">
        <f>SUMIF(logs!$M:$M,'p&amp;l'!$A25&amp;'p&amp;l'!B$3,logs!$V:$V)+AH25</f>
        <v>0</v>
      </c>
      <c r="C25" s="57">
        <f>SUMIF(logs!$M:$M,'p&amp;l'!$A25&amp;'p&amp;l'!C$3,logs!$V:$V)+AI25</f>
        <v>0</v>
      </c>
      <c r="D25" s="57">
        <f>SUMIF(logs!$M:$M,'p&amp;l'!$A25&amp;'p&amp;l'!D$3,logs!$V:$V)+AJ25</f>
        <v>0</v>
      </c>
      <c r="E25" s="57">
        <f>SUMIF(logs!$M:$M,'p&amp;l'!$A25&amp;'p&amp;l'!E$3,logs!$V:$V)+AK25</f>
        <v>0</v>
      </c>
      <c r="F25" s="57">
        <f>SUMIF(logs!$M:$M,'p&amp;l'!$A25&amp;'p&amp;l'!F$3,logs!$V:$V)+AL25</f>
        <v>0</v>
      </c>
      <c r="G25" s="57">
        <f>SUMIF(logs!$M:$M,'p&amp;l'!$A25&amp;'p&amp;l'!G$3,logs!$V:$V)+AM25</f>
        <v>0</v>
      </c>
      <c r="H25" s="57">
        <f>SUMIF(logs!$M:$M,'p&amp;l'!$A25&amp;'p&amp;l'!H$3,logs!$V:$V)+AN25</f>
        <v>0</v>
      </c>
      <c r="I25" s="57">
        <f>SUMIF(logs!$M:$M,'p&amp;l'!$A25&amp;'p&amp;l'!I$3,logs!$V:$V)+AO25</f>
        <v>0</v>
      </c>
      <c r="J25" s="57">
        <f>SUMIF(logs!$M:$M,'p&amp;l'!$A25&amp;'p&amp;l'!J$3,logs!$V:$V)+AP25</f>
        <v>0</v>
      </c>
      <c r="K25" s="57">
        <f>SUMIF(logs!$M:$M,'p&amp;l'!$A25&amp;'p&amp;l'!K$3,logs!$V:$V)+AQ25</f>
        <v>0</v>
      </c>
      <c r="L25" s="57">
        <f>SUMIF(logs!$M:$M,'p&amp;l'!$A25&amp;'p&amp;l'!L$3,logs!$V:$V)+AR25</f>
        <v>0</v>
      </c>
      <c r="M25" s="57">
        <f>SUMIF(logs!$M:$M,'p&amp;l'!$A25&amp;'p&amp;l'!M$3,logs!$V:$V)+AS25</f>
        <v>0</v>
      </c>
      <c r="N25" s="57">
        <f>SUMIF(logs!$M:$M,'p&amp;l'!$A25&amp;'p&amp;l'!N$3,logs!$V:$V)+AT25</f>
        <v>0</v>
      </c>
      <c r="O25" s="58">
        <f t="shared" si="0"/>
        <v>0</v>
      </c>
      <c r="Q25" s="44" t="s">
        <v>160</v>
      </c>
      <c r="R25" s="57">
        <f ca="1">SUMIFS(logs!$V:$V,logs!$M:$M,'p&amp;l'!$Q25&amp;'p&amp;l'!R$3,logs!$A:$A,"&gt;"&amp;assumptions!$C$2)</f>
        <v>0</v>
      </c>
      <c r="S25" s="57">
        <f ca="1">SUMIFS(logs!$V:$V,logs!$M:$M,'p&amp;l'!$Q25&amp;'p&amp;l'!S$3,logs!$A:$A,"&gt;"&amp;assumptions!$C$2)</f>
        <v>0</v>
      </c>
      <c r="T25" s="57">
        <f ca="1">SUMIFS(logs!$V:$V,logs!$M:$M,'p&amp;l'!$Q25&amp;'p&amp;l'!T$3,logs!$A:$A,"&gt;"&amp;assumptions!$C$2)</f>
        <v>0</v>
      </c>
      <c r="U25" s="57">
        <f ca="1">SUMIFS(logs!$V:$V,logs!$M:$M,'p&amp;l'!$Q25&amp;'p&amp;l'!U$3,logs!$A:$A,"&gt;"&amp;assumptions!$C$2)</f>
        <v>0</v>
      </c>
      <c r="V25" s="57">
        <f ca="1">SUMIFS(logs!$V:$V,logs!$M:$M,'p&amp;l'!$Q25&amp;'p&amp;l'!V$3,logs!$A:$A,"&gt;"&amp;assumptions!$C$2)</f>
        <v>0</v>
      </c>
      <c r="W25" s="57">
        <f ca="1">SUMIFS(logs!$V:$V,logs!$M:$M,'p&amp;l'!$Q25&amp;'p&amp;l'!W$3,logs!$A:$A,"&gt;"&amp;assumptions!$C$2)</f>
        <v>0</v>
      </c>
      <c r="X25" s="57">
        <f ca="1">SUMIFS(logs!$V:$V,logs!$M:$M,'p&amp;l'!$Q25&amp;'p&amp;l'!X$3,logs!$A:$A,"&gt;"&amp;assumptions!$C$2)</f>
        <v>0</v>
      </c>
      <c r="Y25" s="57">
        <f ca="1">SUMIFS(logs!$V:$V,logs!$M:$M,'p&amp;l'!$Q25&amp;'p&amp;l'!Y$3,logs!$A:$A,"&gt;"&amp;assumptions!$C$2)</f>
        <v>0</v>
      </c>
      <c r="Z25" s="57">
        <f ca="1">SUMIFS(logs!$V:$V,logs!$M:$M,'p&amp;l'!$Q25&amp;'p&amp;l'!Z$3,logs!$A:$A,"&gt;"&amp;assumptions!$C$2)</f>
        <v>0</v>
      </c>
      <c r="AA25" s="57">
        <f ca="1">SUMIFS(logs!$V:$V,logs!$M:$M,'p&amp;l'!$Q25&amp;'p&amp;l'!AA$3,logs!$A:$A,"&gt;"&amp;assumptions!$C$2)</f>
        <v>0</v>
      </c>
      <c r="AB25" s="57">
        <f ca="1">SUMIFS(logs!$V:$V,logs!$M:$M,'p&amp;l'!$Q25&amp;'p&amp;l'!AB$3,logs!$A:$A,"&gt;"&amp;assumptions!$C$2)</f>
        <v>0</v>
      </c>
      <c r="AC25" s="57">
        <f ca="1">SUMIFS(logs!$V:$V,logs!$M:$M,'p&amp;l'!$Q25&amp;'p&amp;l'!AC$3,logs!$A:$A,"&gt;"&amp;assumptions!$C$2)</f>
        <v>0</v>
      </c>
      <c r="AD25" s="57">
        <f ca="1">SUMIFS(logs!$V:$V,logs!$M:$M,'p&amp;l'!$Q25&amp;'p&amp;l'!AD$3,logs!$A:$A,"&gt;"&amp;assumptions!$C$2)</f>
        <v>0</v>
      </c>
      <c r="AE25" s="58">
        <f t="shared" ca="1" si="1"/>
        <v>0</v>
      </c>
      <c r="AG25" s="44" t="s">
        <v>160</v>
      </c>
      <c r="AH25" s="57">
        <f>-SUMIF(logs!$M:$M,'p&amp;l'!$AG25&amp;'p&amp;l'!AH$3,logs!$R:$R)</f>
        <v>0</v>
      </c>
      <c r="AI25" s="57">
        <f>-SUMIF(logs!$M:$M,'p&amp;l'!$AG25&amp;'p&amp;l'!AI$3,logs!$R:$R)</f>
        <v>0</v>
      </c>
      <c r="AJ25" s="57">
        <f>-SUMIF(logs!$M:$M,'p&amp;l'!$AG25&amp;'p&amp;l'!AJ$3,logs!$R:$R)</f>
        <v>0</v>
      </c>
      <c r="AK25" s="57">
        <f>-SUMIF(logs!$M:$M,'p&amp;l'!$AG25&amp;'p&amp;l'!AK$3,logs!$R:$R)</f>
        <v>0</v>
      </c>
      <c r="AL25" s="57">
        <f>-SUMIF(logs!$M:$M,'p&amp;l'!$AG25&amp;'p&amp;l'!AL$3,logs!$R:$R)</f>
        <v>0</v>
      </c>
      <c r="AM25" s="57">
        <f>-SUMIF(logs!$M:$M,'p&amp;l'!$AG25&amp;'p&amp;l'!AM$3,logs!$R:$R)</f>
        <v>0</v>
      </c>
      <c r="AN25" s="57">
        <f>-SUMIF(logs!$M:$M,'p&amp;l'!$AG25&amp;'p&amp;l'!AN$3,logs!$R:$R)</f>
        <v>0</v>
      </c>
      <c r="AO25" s="57">
        <f>-SUMIF(logs!$M:$M,'p&amp;l'!$AG25&amp;'p&amp;l'!AO$3,logs!$R:$R)</f>
        <v>0</v>
      </c>
      <c r="AP25" s="57">
        <f>-SUMIF(logs!$M:$M,'p&amp;l'!$AG25&amp;'p&amp;l'!AP$3,logs!$R:$R)</f>
        <v>0</v>
      </c>
      <c r="AQ25" s="57">
        <f>-SUMIF(logs!$M:$M,'p&amp;l'!$AG25&amp;'p&amp;l'!AQ$3,logs!$R:$R)</f>
        <v>0</v>
      </c>
      <c r="AR25" s="57">
        <f>-SUMIF(logs!$M:$M,'p&amp;l'!$AG25&amp;'p&amp;l'!AR$3,logs!$R:$R)</f>
        <v>0</v>
      </c>
      <c r="AS25" s="57">
        <f>-SUMIF(logs!$M:$M,'p&amp;l'!$AG25&amp;'p&amp;l'!AS$3,logs!$R:$R)</f>
        <v>0</v>
      </c>
      <c r="AT25" s="57">
        <f>-SUMIF(logs!$M:$M,'p&amp;l'!$AG25&amp;'p&amp;l'!AT$3,logs!$R:$R)</f>
        <v>0</v>
      </c>
      <c r="AU25" s="58">
        <f t="shared" si="2"/>
        <v>0</v>
      </c>
    </row>
    <row r="26" spans="1:47" x14ac:dyDescent="0.35">
      <c r="A26" s="45" t="s">
        <v>103</v>
      </c>
      <c r="B26" s="59">
        <f>SUMIF(logs!$M:$M,'p&amp;l'!$A26&amp;'p&amp;l'!B$3,logs!$V:$V)+AH26</f>
        <v>0</v>
      </c>
      <c r="C26" s="59">
        <f>SUMIF(logs!$M:$M,'p&amp;l'!$A26&amp;'p&amp;l'!C$3,logs!$V:$V)+AI26</f>
        <v>0</v>
      </c>
      <c r="D26" s="59">
        <f>SUMIF(logs!$M:$M,'p&amp;l'!$A26&amp;'p&amp;l'!D$3,logs!$V:$V)+AJ26</f>
        <v>0</v>
      </c>
      <c r="E26" s="59">
        <f>SUMIF(logs!$M:$M,'p&amp;l'!$A26&amp;'p&amp;l'!E$3,logs!$V:$V)+AK26</f>
        <v>0</v>
      </c>
      <c r="F26" s="59">
        <f>SUMIF(logs!$M:$M,'p&amp;l'!$A26&amp;'p&amp;l'!F$3,logs!$V:$V)+AL26</f>
        <v>0</v>
      </c>
      <c r="G26" s="59">
        <f>SUMIF(logs!$M:$M,'p&amp;l'!$A26&amp;'p&amp;l'!G$3,logs!$V:$V)+AM26</f>
        <v>0</v>
      </c>
      <c r="H26" s="59">
        <f>SUMIF(logs!$M:$M,'p&amp;l'!$A26&amp;'p&amp;l'!H$3,logs!$V:$V)+AN26</f>
        <v>0</v>
      </c>
      <c r="I26" s="59">
        <f>SUMIF(logs!$M:$M,'p&amp;l'!$A26&amp;'p&amp;l'!I$3,logs!$V:$V)+AO26</f>
        <v>0</v>
      </c>
      <c r="J26" s="59">
        <f>SUMIF(logs!$M:$M,'p&amp;l'!$A26&amp;'p&amp;l'!J$3,logs!$V:$V)+AP26</f>
        <v>0</v>
      </c>
      <c r="K26" s="59">
        <f>SUMIF(logs!$M:$M,'p&amp;l'!$A26&amp;'p&amp;l'!K$3,logs!$V:$V)+AQ26</f>
        <v>0</v>
      </c>
      <c r="L26" s="59">
        <f>SUMIF(logs!$M:$M,'p&amp;l'!$A26&amp;'p&amp;l'!L$3,logs!$V:$V)+AR26</f>
        <v>0</v>
      </c>
      <c r="M26" s="59">
        <f>SUMIF(logs!$M:$M,'p&amp;l'!$A26&amp;'p&amp;l'!M$3,logs!$V:$V)+AS26</f>
        <v>0</v>
      </c>
      <c r="N26" s="59">
        <f>SUMIF(logs!$M:$M,'p&amp;l'!$A26&amp;'p&amp;l'!N$3,logs!$V:$V)+AT26</f>
        <v>0</v>
      </c>
      <c r="O26" s="60">
        <f t="shared" si="0"/>
        <v>0</v>
      </c>
      <c r="Q26" s="45" t="s">
        <v>103</v>
      </c>
      <c r="R26" s="59">
        <f ca="1">SUMIFS(logs!$V:$V,logs!$M:$M,'p&amp;l'!$Q26&amp;'p&amp;l'!R$3,logs!$A:$A,"&gt;"&amp;assumptions!$C$2)</f>
        <v>0</v>
      </c>
      <c r="S26" s="59">
        <f ca="1">SUMIFS(logs!$V:$V,logs!$M:$M,'p&amp;l'!$Q26&amp;'p&amp;l'!S$3,logs!$A:$A,"&gt;"&amp;assumptions!$C$2)</f>
        <v>0</v>
      </c>
      <c r="T26" s="59">
        <f ca="1">SUMIFS(logs!$V:$V,logs!$M:$M,'p&amp;l'!$Q26&amp;'p&amp;l'!T$3,logs!$A:$A,"&gt;"&amp;assumptions!$C$2)</f>
        <v>0</v>
      </c>
      <c r="U26" s="59">
        <f ca="1">SUMIFS(logs!$V:$V,logs!$M:$M,'p&amp;l'!$Q26&amp;'p&amp;l'!U$3,logs!$A:$A,"&gt;"&amp;assumptions!$C$2)</f>
        <v>0</v>
      </c>
      <c r="V26" s="59">
        <f ca="1">SUMIFS(logs!$V:$V,logs!$M:$M,'p&amp;l'!$Q26&amp;'p&amp;l'!V$3,logs!$A:$A,"&gt;"&amp;assumptions!$C$2)</f>
        <v>0</v>
      </c>
      <c r="W26" s="59">
        <f ca="1">SUMIFS(logs!$V:$V,logs!$M:$M,'p&amp;l'!$Q26&amp;'p&amp;l'!W$3,logs!$A:$A,"&gt;"&amp;assumptions!$C$2)</f>
        <v>0</v>
      </c>
      <c r="X26" s="59">
        <f ca="1">SUMIFS(logs!$V:$V,logs!$M:$M,'p&amp;l'!$Q26&amp;'p&amp;l'!X$3,logs!$A:$A,"&gt;"&amp;assumptions!$C$2)</f>
        <v>0</v>
      </c>
      <c r="Y26" s="59">
        <f ca="1">SUMIFS(logs!$V:$V,logs!$M:$M,'p&amp;l'!$Q26&amp;'p&amp;l'!Y$3,logs!$A:$A,"&gt;"&amp;assumptions!$C$2)</f>
        <v>0</v>
      </c>
      <c r="Z26" s="59">
        <f ca="1">SUMIFS(logs!$V:$V,logs!$M:$M,'p&amp;l'!$Q26&amp;'p&amp;l'!Z$3,logs!$A:$A,"&gt;"&amp;assumptions!$C$2)</f>
        <v>0</v>
      </c>
      <c r="AA26" s="59">
        <f ca="1">SUMIFS(logs!$V:$V,logs!$M:$M,'p&amp;l'!$Q26&amp;'p&amp;l'!AA$3,logs!$A:$A,"&gt;"&amp;assumptions!$C$2)</f>
        <v>0</v>
      </c>
      <c r="AB26" s="59">
        <f ca="1">SUMIFS(logs!$V:$V,logs!$M:$M,'p&amp;l'!$Q26&amp;'p&amp;l'!AB$3,logs!$A:$A,"&gt;"&amp;assumptions!$C$2)</f>
        <v>0</v>
      </c>
      <c r="AC26" s="59">
        <f ca="1">SUMIFS(logs!$V:$V,logs!$M:$M,'p&amp;l'!$Q26&amp;'p&amp;l'!AC$3,logs!$A:$A,"&gt;"&amp;assumptions!$C$2)</f>
        <v>0</v>
      </c>
      <c r="AD26" s="59">
        <f ca="1">SUMIFS(logs!$V:$V,logs!$M:$M,'p&amp;l'!$Q26&amp;'p&amp;l'!AD$3,logs!$A:$A,"&gt;"&amp;assumptions!$C$2)</f>
        <v>0</v>
      </c>
      <c r="AE26" s="60">
        <f t="shared" ca="1" si="1"/>
        <v>0</v>
      </c>
      <c r="AG26" s="45" t="s">
        <v>103</v>
      </c>
      <c r="AH26" s="59">
        <f>-SUMIF(logs!$M:$M,'p&amp;l'!$AG26&amp;'p&amp;l'!AH$3,logs!$R:$R)</f>
        <v>0</v>
      </c>
      <c r="AI26" s="59">
        <f>-SUMIF(logs!$M:$M,'p&amp;l'!$AG26&amp;'p&amp;l'!AI$3,logs!$R:$R)</f>
        <v>0</v>
      </c>
      <c r="AJ26" s="59">
        <f>-SUMIF(logs!$M:$M,'p&amp;l'!$AG26&amp;'p&amp;l'!AJ$3,logs!$R:$R)</f>
        <v>0</v>
      </c>
      <c r="AK26" s="59">
        <f>-SUMIF(logs!$M:$M,'p&amp;l'!$AG26&amp;'p&amp;l'!AK$3,logs!$R:$R)</f>
        <v>0</v>
      </c>
      <c r="AL26" s="59">
        <f>-SUMIF(logs!$M:$M,'p&amp;l'!$AG26&amp;'p&amp;l'!AL$3,logs!$R:$R)</f>
        <v>0</v>
      </c>
      <c r="AM26" s="59">
        <f>-SUMIF(logs!$M:$M,'p&amp;l'!$AG26&amp;'p&amp;l'!AM$3,logs!$R:$R)</f>
        <v>0</v>
      </c>
      <c r="AN26" s="59">
        <f>-SUMIF(logs!$M:$M,'p&amp;l'!$AG26&amp;'p&amp;l'!AN$3,logs!$R:$R)</f>
        <v>0</v>
      </c>
      <c r="AO26" s="59">
        <f>-SUMIF(logs!$M:$M,'p&amp;l'!$AG26&amp;'p&amp;l'!AO$3,logs!$R:$R)</f>
        <v>0</v>
      </c>
      <c r="AP26" s="59">
        <f>-SUMIF(logs!$M:$M,'p&amp;l'!$AG26&amp;'p&amp;l'!AP$3,logs!$R:$R)</f>
        <v>0</v>
      </c>
      <c r="AQ26" s="59">
        <f>-SUMIF(logs!$M:$M,'p&amp;l'!$AG26&amp;'p&amp;l'!AQ$3,logs!$R:$R)</f>
        <v>0</v>
      </c>
      <c r="AR26" s="59">
        <f>-SUMIF(logs!$M:$M,'p&amp;l'!$AG26&amp;'p&amp;l'!AR$3,logs!$R:$R)</f>
        <v>0</v>
      </c>
      <c r="AS26" s="59">
        <f>-SUMIF(logs!$M:$M,'p&amp;l'!$AG26&amp;'p&amp;l'!AS$3,logs!$R:$R)</f>
        <v>0</v>
      </c>
      <c r="AT26" s="59">
        <f>-SUMIF(logs!$M:$M,'p&amp;l'!$AG26&amp;'p&amp;l'!AT$3,logs!$R:$R)</f>
        <v>0</v>
      </c>
      <c r="AU26" s="60">
        <f t="shared" si="2"/>
        <v>0</v>
      </c>
    </row>
    <row r="27" spans="1:47" x14ac:dyDescent="0.35">
      <c r="A27" s="56" t="s">
        <v>107</v>
      </c>
      <c r="B27" s="61">
        <f>SUMIF(logs!$M:$M,'p&amp;l'!$A27&amp;'p&amp;l'!B$3,logs!$V:$V)+AH27</f>
        <v>0</v>
      </c>
      <c r="C27" s="61">
        <f>SUMIF(logs!$M:$M,'p&amp;l'!$A27&amp;'p&amp;l'!C$3,logs!$V:$V)+AI27</f>
        <v>-88011</v>
      </c>
      <c r="D27" s="61">
        <f>SUMIF(logs!$M:$M,'p&amp;l'!$A27&amp;'p&amp;l'!D$3,logs!$V:$V)+AJ27</f>
        <v>0</v>
      </c>
      <c r="E27" s="61">
        <f>SUMIF(logs!$M:$M,'p&amp;l'!$A27&amp;'p&amp;l'!E$3,logs!$V:$V)+AK27</f>
        <v>535912</v>
      </c>
      <c r="F27" s="61">
        <f>SUMIF(logs!$M:$M,'p&amp;l'!$A27&amp;'p&amp;l'!F$3,logs!$V:$V)+AL27</f>
        <v>0</v>
      </c>
      <c r="G27" s="61">
        <f>SUMIF(logs!$M:$M,'p&amp;l'!$A27&amp;'p&amp;l'!G$3,logs!$V:$V)+AM27</f>
        <v>0</v>
      </c>
      <c r="H27" s="61">
        <f>SUMIF(logs!$M:$M,'p&amp;l'!$A27&amp;'p&amp;l'!H$3,logs!$V:$V)+AN27</f>
        <v>0</v>
      </c>
      <c r="I27" s="61">
        <f>SUMIF(logs!$M:$M,'p&amp;l'!$A27&amp;'p&amp;l'!I$3,logs!$V:$V)+AO27</f>
        <v>0</v>
      </c>
      <c r="J27" s="61">
        <f>SUMIF(logs!$M:$M,'p&amp;l'!$A27&amp;'p&amp;l'!J$3,logs!$V:$V)+AP27</f>
        <v>0</v>
      </c>
      <c r="K27" s="61">
        <f>SUMIF(logs!$M:$M,'p&amp;l'!$A27&amp;'p&amp;l'!K$3,logs!$V:$V)+AQ27</f>
        <v>-33</v>
      </c>
      <c r="L27" s="61">
        <f>SUMIF(logs!$M:$M,'p&amp;l'!$A27&amp;'p&amp;l'!L$3,logs!$V:$V)+AR27</f>
        <v>0</v>
      </c>
      <c r="M27" s="61">
        <f>SUMIF(logs!$M:$M,'p&amp;l'!$A27&amp;'p&amp;l'!M$3,logs!$V:$V)+AS27</f>
        <v>0</v>
      </c>
      <c r="N27" s="61">
        <f>SUMIF(logs!$M:$M,'p&amp;l'!$A27&amp;'p&amp;l'!N$3,logs!$V:$V)+AT27</f>
        <v>0</v>
      </c>
      <c r="O27" s="62">
        <f t="shared" si="0"/>
        <v>447868</v>
      </c>
      <c r="Q27" s="56" t="s">
        <v>107</v>
      </c>
      <c r="R27" s="61">
        <f ca="1">SUMIFS(logs!$V:$V,logs!$M:$M,'p&amp;l'!$Q27&amp;'p&amp;l'!R$3,logs!$A:$A,"&gt;"&amp;assumptions!$C$2)</f>
        <v>0</v>
      </c>
      <c r="S27" s="61">
        <f ca="1">SUMIFS(logs!$V:$V,logs!$M:$M,'p&amp;l'!$Q27&amp;'p&amp;l'!S$3,logs!$A:$A,"&gt;"&amp;assumptions!$C$2)</f>
        <v>-88000</v>
      </c>
      <c r="T27" s="61">
        <f ca="1">SUMIFS(logs!$V:$V,logs!$M:$M,'p&amp;l'!$Q27&amp;'p&amp;l'!T$3,logs!$A:$A,"&gt;"&amp;assumptions!$C$2)</f>
        <v>0</v>
      </c>
      <c r="U27" s="61">
        <f ca="1">SUMIFS(logs!$V:$V,logs!$M:$M,'p&amp;l'!$Q27&amp;'p&amp;l'!U$3,logs!$A:$A,"&gt;"&amp;assumptions!$C$2)</f>
        <v>0</v>
      </c>
      <c r="V27" s="61">
        <f ca="1">SUMIFS(logs!$V:$V,logs!$M:$M,'p&amp;l'!$Q27&amp;'p&amp;l'!V$3,logs!$A:$A,"&gt;"&amp;assumptions!$C$2)</f>
        <v>0</v>
      </c>
      <c r="W27" s="61">
        <f ca="1">SUMIFS(logs!$V:$V,logs!$M:$M,'p&amp;l'!$Q27&amp;'p&amp;l'!W$3,logs!$A:$A,"&gt;"&amp;assumptions!$C$2)</f>
        <v>0</v>
      </c>
      <c r="X27" s="61">
        <f ca="1">SUMIFS(logs!$V:$V,logs!$M:$M,'p&amp;l'!$Q27&amp;'p&amp;l'!X$3,logs!$A:$A,"&gt;"&amp;assumptions!$C$2)</f>
        <v>0</v>
      </c>
      <c r="Y27" s="61">
        <f ca="1">SUMIFS(logs!$V:$V,logs!$M:$M,'p&amp;l'!$Q27&amp;'p&amp;l'!Y$3,logs!$A:$A,"&gt;"&amp;assumptions!$C$2)</f>
        <v>0</v>
      </c>
      <c r="Z27" s="61">
        <f ca="1">SUMIFS(logs!$V:$V,logs!$M:$M,'p&amp;l'!$Q27&amp;'p&amp;l'!Z$3,logs!$A:$A,"&gt;"&amp;assumptions!$C$2)</f>
        <v>0</v>
      </c>
      <c r="AA27" s="61">
        <f ca="1">SUMIFS(logs!$V:$V,logs!$M:$M,'p&amp;l'!$Q27&amp;'p&amp;l'!AA$3,logs!$A:$A,"&gt;"&amp;assumptions!$C$2)</f>
        <v>0</v>
      </c>
      <c r="AB27" s="61">
        <f ca="1">SUMIFS(logs!$V:$V,logs!$M:$M,'p&amp;l'!$Q27&amp;'p&amp;l'!AB$3,logs!$A:$A,"&gt;"&amp;assumptions!$C$2)</f>
        <v>0</v>
      </c>
      <c r="AC27" s="61">
        <f ca="1">SUMIFS(logs!$V:$V,logs!$M:$M,'p&amp;l'!$Q27&amp;'p&amp;l'!AC$3,logs!$A:$A,"&gt;"&amp;assumptions!$C$2)</f>
        <v>0</v>
      </c>
      <c r="AD27" s="61">
        <f ca="1">SUMIFS(logs!$V:$V,logs!$M:$M,'p&amp;l'!$Q27&amp;'p&amp;l'!AD$3,logs!$A:$A,"&gt;"&amp;assumptions!$C$2)</f>
        <v>0</v>
      </c>
      <c r="AE27" s="62">
        <f t="shared" ca="1" si="1"/>
        <v>-88000</v>
      </c>
      <c r="AG27" s="56" t="s">
        <v>107</v>
      </c>
      <c r="AH27" s="61">
        <f>-SUMIF(logs!$M:$M,'p&amp;l'!$AG27&amp;'p&amp;l'!AH$3,logs!$R:$R)</f>
        <v>0</v>
      </c>
      <c r="AI27" s="61">
        <f>-SUMIF(logs!$M:$M,'p&amp;l'!$AG27&amp;'p&amp;l'!AI$3,logs!$R:$R)</f>
        <v>-11</v>
      </c>
      <c r="AJ27" s="61">
        <f>-SUMIF(logs!$M:$M,'p&amp;l'!$AG27&amp;'p&amp;l'!AJ$3,logs!$R:$R)</f>
        <v>0</v>
      </c>
      <c r="AK27" s="61">
        <f>-SUMIF(logs!$M:$M,'p&amp;l'!$AG27&amp;'p&amp;l'!AK$3,logs!$R:$R)</f>
        <v>-88</v>
      </c>
      <c r="AL27" s="61">
        <f>-SUMIF(logs!$M:$M,'p&amp;l'!$AG27&amp;'p&amp;l'!AL$3,logs!$R:$R)</f>
        <v>0</v>
      </c>
      <c r="AM27" s="61">
        <f>-SUMIF(logs!$M:$M,'p&amp;l'!$AG27&amp;'p&amp;l'!AM$3,logs!$R:$R)</f>
        <v>0</v>
      </c>
      <c r="AN27" s="61">
        <f>-SUMIF(logs!$M:$M,'p&amp;l'!$AG27&amp;'p&amp;l'!AN$3,logs!$R:$R)</f>
        <v>0</v>
      </c>
      <c r="AO27" s="61">
        <f>-SUMIF(logs!$M:$M,'p&amp;l'!$AG27&amp;'p&amp;l'!AO$3,logs!$R:$R)</f>
        <v>0</v>
      </c>
      <c r="AP27" s="61">
        <f>-SUMIF(logs!$M:$M,'p&amp;l'!$AG27&amp;'p&amp;l'!AP$3,logs!$R:$R)</f>
        <v>0</v>
      </c>
      <c r="AQ27" s="61">
        <f>-SUMIF(logs!$M:$M,'p&amp;l'!$AG27&amp;'p&amp;l'!AQ$3,logs!$R:$R)</f>
        <v>-33</v>
      </c>
      <c r="AR27" s="61">
        <f>-SUMIF(logs!$M:$M,'p&amp;l'!$AG27&amp;'p&amp;l'!AR$3,logs!$R:$R)</f>
        <v>0</v>
      </c>
      <c r="AS27" s="61">
        <f>-SUMIF(logs!$M:$M,'p&amp;l'!$AG27&amp;'p&amp;l'!AS$3,logs!$R:$R)</f>
        <v>0</v>
      </c>
      <c r="AT27" s="61">
        <f>-SUMIF(logs!$M:$M,'p&amp;l'!$AG27&amp;'p&amp;l'!AT$3,logs!$R:$R)</f>
        <v>0</v>
      </c>
      <c r="AU27" s="62">
        <f t="shared" si="2"/>
        <v>-132</v>
      </c>
    </row>
    <row r="28" spans="1:47" x14ac:dyDescent="0.35">
      <c r="A28" s="44" t="s">
        <v>111</v>
      </c>
      <c r="B28" s="57">
        <f>SUMIF(logs!$M:$M,'p&amp;l'!$A28&amp;'p&amp;l'!B$3,logs!$V:$V)+AH28</f>
        <v>0</v>
      </c>
      <c r="C28" s="57">
        <f>SUMIF(logs!$M:$M,'p&amp;l'!$A28&amp;'p&amp;l'!C$3,logs!$V:$V)+AI28</f>
        <v>11489</v>
      </c>
      <c r="D28" s="57">
        <f>SUMIF(logs!$M:$M,'p&amp;l'!$A28&amp;'p&amp;l'!D$3,logs!$V:$V)+AJ28</f>
        <v>0</v>
      </c>
      <c r="E28" s="57">
        <f>SUMIF(logs!$M:$M,'p&amp;l'!$A28&amp;'p&amp;l'!E$3,logs!$V:$V)+AK28</f>
        <v>135956</v>
      </c>
      <c r="F28" s="57">
        <f>SUMIF(logs!$M:$M,'p&amp;l'!$A28&amp;'p&amp;l'!F$3,logs!$V:$V)+AL28</f>
        <v>0</v>
      </c>
      <c r="G28" s="57">
        <f>SUMIF(logs!$M:$M,'p&amp;l'!$A28&amp;'p&amp;l'!G$3,logs!$V:$V)+AM28</f>
        <v>0</v>
      </c>
      <c r="H28" s="57">
        <f>SUMIF(logs!$M:$M,'p&amp;l'!$A28&amp;'p&amp;l'!H$3,logs!$V:$V)+AN28</f>
        <v>0</v>
      </c>
      <c r="I28" s="57">
        <f>SUMIF(logs!$M:$M,'p&amp;l'!$A28&amp;'p&amp;l'!I$3,logs!$V:$V)+AO28</f>
        <v>0</v>
      </c>
      <c r="J28" s="57">
        <f>SUMIF(logs!$M:$M,'p&amp;l'!$A28&amp;'p&amp;l'!J$3,logs!$V:$V)+AP28</f>
        <v>0</v>
      </c>
      <c r="K28" s="57">
        <f>SUMIF(logs!$M:$M,'p&amp;l'!$A28&amp;'p&amp;l'!K$3,logs!$V:$V)+AQ28</f>
        <v>0</v>
      </c>
      <c r="L28" s="57">
        <f>SUMIF(logs!$M:$M,'p&amp;l'!$A28&amp;'p&amp;l'!L$3,logs!$V:$V)+AR28</f>
        <v>0</v>
      </c>
      <c r="M28" s="57">
        <f>SUMIF(logs!$M:$M,'p&amp;l'!$A28&amp;'p&amp;l'!M$3,logs!$V:$V)+AS28</f>
        <v>0</v>
      </c>
      <c r="N28" s="57">
        <f>SUMIF(logs!$M:$M,'p&amp;l'!$A28&amp;'p&amp;l'!N$3,logs!$V:$V)+AT28</f>
        <v>0</v>
      </c>
      <c r="O28" s="58">
        <f t="shared" si="0"/>
        <v>147445</v>
      </c>
      <c r="Q28" s="44" t="s">
        <v>111</v>
      </c>
      <c r="R28" s="57">
        <f ca="1">SUMIFS(logs!$V:$V,logs!$M:$M,'p&amp;l'!$Q28&amp;'p&amp;l'!R$3,logs!$A:$A,"&gt;"&amp;assumptions!$C$2)</f>
        <v>0</v>
      </c>
      <c r="S28" s="57">
        <f ca="1">SUMIFS(logs!$V:$V,logs!$M:$M,'p&amp;l'!$Q28&amp;'p&amp;l'!S$3,logs!$A:$A,"&gt;"&amp;assumptions!$C$2)</f>
        <v>11500</v>
      </c>
      <c r="T28" s="57">
        <f ca="1">SUMIFS(logs!$V:$V,logs!$M:$M,'p&amp;l'!$Q28&amp;'p&amp;l'!T$3,logs!$A:$A,"&gt;"&amp;assumptions!$C$2)</f>
        <v>0</v>
      </c>
      <c r="U28" s="57">
        <f ca="1">SUMIFS(logs!$V:$V,logs!$M:$M,'p&amp;l'!$Q28&amp;'p&amp;l'!U$3,logs!$A:$A,"&gt;"&amp;assumptions!$C$2)</f>
        <v>0</v>
      </c>
      <c r="V28" s="57">
        <f ca="1">SUMIFS(logs!$V:$V,logs!$M:$M,'p&amp;l'!$Q28&amp;'p&amp;l'!V$3,logs!$A:$A,"&gt;"&amp;assumptions!$C$2)</f>
        <v>0</v>
      </c>
      <c r="W28" s="57">
        <f ca="1">SUMIFS(logs!$V:$V,logs!$M:$M,'p&amp;l'!$Q28&amp;'p&amp;l'!W$3,logs!$A:$A,"&gt;"&amp;assumptions!$C$2)</f>
        <v>0</v>
      </c>
      <c r="X28" s="57">
        <f ca="1">SUMIFS(logs!$V:$V,logs!$M:$M,'p&amp;l'!$Q28&amp;'p&amp;l'!X$3,logs!$A:$A,"&gt;"&amp;assumptions!$C$2)</f>
        <v>0</v>
      </c>
      <c r="Y28" s="57">
        <f ca="1">SUMIFS(logs!$V:$V,logs!$M:$M,'p&amp;l'!$Q28&amp;'p&amp;l'!Y$3,logs!$A:$A,"&gt;"&amp;assumptions!$C$2)</f>
        <v>0</v>
      </c>
      <c r="Z28" s="57">
        <f ca="1">SUMIFS(logs!$V:$V,logs!$M:$M,'p&amp;l'!$Q28&amp;'p&amp;l'!Z$3,logs!$A:$A,"&gt;"&amp;assumptions!$C$2)</f>
        <v>0</v>
      </c>
      <c r="AA28" s="57">
        <f ca="1">SUMIFS(logs!$V:$V,logs!$M:$M,'p&amp;l'!$Q28&amp;'p&amp;l'!AA$3,logs!$A:$A,"&gt;"&amp;assumptions!$C$2)</f>
        <v>0</v>
      </c>
      <c r="AB28" s="57">
        <f ca="1">SUMIFS(logs!$V:$V,logs!$M:$M,'p&amp;l'!$Q28&amp;'p&amp;l'!AB$3,logs!$A:$A,"&gt;"&amp;assumptions!$C$2)</f>
        <v>0</v>
      </c>
      <c r="AC28" s="57">
        <f ca="1">SUMIFS(logs!$V:$V,logs!$M:$M,'p&amp;l'!$Q28&amp;'p&amp;l'!AC$3,logs!$A:$A,"&gt;"&amp;assumptions!$C$2)</f>
        <v>0</v>
      </c>
      <c r="AD28" s="57">
        <f ca="1">SUMIFS(logs!$V:$V,logs!$M:$M,'p&amp;l'!$Q28&amp;'p&amp;l'!AD$3,logs!$A:$A,"&gt;"&amp;assumptions!$C$2)</f>
        <v>0</v>
      </c>
      <c r="AE28" s="58">
        <f t="shared" ca="1" si="1"/>
        <v>11500</v>
      </c>
      <c r="AG28" s="44" t="s">
        <v>111</v>
      </c>
      <c r="AH28" s="57">
        <f>-SUMIF(logs!$M:$M,'p&amp;l'!$AG28&amp;'p&amp;l'!AH$3,logs!$R:$R)</f>
        <v>0</v>
      </c>
      <c r="AI28" s="57">
        <f>-SUMIF(logs!$M:$M,'p&amp;l'!$AG28&amp;'p&amp;l'!AI$3,logs!$R:$R)</f>
        <v>-11</v>
      </c>
      <c r="AJ28" s="57">
        <f>-SUMIF(logs!$M:$M,'p&amp;l'!$AG28&amp;'p&amp;l'!AJ$3,logs!$R:$R)</f>
        <v>0</v>
      </c>
      <c r="AK28" s="57">
        <f>-SUMIF(logs!$M:$M,'p&amp;l'!$AG28&amp;'p&amp;l'!AK$3,logs!$R:$R)</f>
        <v>-44</v>
      </c>
      <c r="AL28" s="57">
        <f>-SUMIF(logs!$M:$M,'p&amp;l'!$AG28&amp;'p&amp;l'!AL$3,logs!$R:$R)</f>
        <v>0</v>
      </c>
      <c r="AM28" s="57">
        <f>-SUMIF(logs!$M:$M,'p&amp;l'!$AG28&amp;'p&amp;l'!AM$3,logs!$R:$R)</f>
        <v>0</v>
      </c>
      <c r="AN28" s="57">
        <f>-SUMIF(logs!$M:$M,'p&amp;l'!$AG28&amp;'p&amp;l'!AN$3,logs!$R:$R)</f>
        <v>0</v>
      </c>
      <c r="AO28" s="57">
        <f>-SUMIF(logs!$M:$M,'p&amp;l'!$AG28&amp;'p&amp;l'!AO$3,logs!$R:$R)</f>
        <v>0</v>
      </c>
      <c r="AP28" s="57">
        <f>-SUMIF(logs!$M:$M,'p&amp;l'!$AG28&amp;'p&amp;l'!AP$3,logs!$R:$R)</f>
        <v>0</v>
      </c>
      <c r="AQ28" s="57">
        <f>-SUMIF(logs!$M:$M,'p&amp;l'!$AG28&amp;'p&amp;l'!AQ$3,logs!$R:$R)</f>
        <v>0</v>
      </c>
      <c r="AR28" s="57">
        <f>-SUMIF(logs!$M:$M,'p&amp;l'!$AG28&amp;'p&amp;l'!AR$3,logs!$R:$R)</f>
        <v>0</v>
      </c>
      <c r="AS28" s="57">
        <f>-SUMIF(logs!$M:$M,'p&amp;l'!$AG28&amp;'p&amp;l'!AS$3,logs!$R:$R)</f>
        <v>0</v>
      </c>
      <c r="AT28" s="57">
        <f>-SUMIF(logs!$M:$M,'p&amp;l'!$AG28&amp;'p&amp;l'!AT$3,logs!$R:$R)</f>
        <v>0</v>
      </c>
      <c r="AU28" s="58">
        <f t="shared" si="2"/>
        <v>-55</v>
      </c>
    </row>
    <row r="29" spans="1:47" x14ac:dyDescent="0.35">
      <c r="A29" s="44" t="s">
        <v>114</v>
      </c>
      <c r="B29" s="57">
        <f>SUMIF(logs!$M:$M,'p&amp;l'!$A29&amp;'p&amp;l'!B$3,logs!$V:$V)+AH29</f>
        <v>0</v>
      </c>
      <c r="C29" s="57">
        <f>SUMIF(logs!$M:$M,'p&amp;l'!$A29&amp;'p&amp;l'!C$3,logs!$V:$V)+AI29</f>
        <v>0</v>
      </c>
      <c r="D29" s="57">
        <f>SUMIF(logs!$M:$M,'p&amp;l'!$A29&amp;'p&amp;l'!D$3,logs!$V:$V)+AJ29</f>
        <v>0</v>
      </c>
      <c r="E29" s="57">
        <f>SUMIF(logs!$M:$M,'p&amp;l'!$A29&amp;'p&amp;l'!E$3,logs!$V:$V)+AK29</f>
        <v>0</v>
      </c>
      <c r="F29" s="57">
        <f>SUMIF(logs!$M:$M,'p&amp;l'!$A29&amp;'p&amp;l'!F$3,logs!$V:$V)+AL29</f>
        <v>0</v>
      </c>
      <c r="G29" s="57">
        <f>SUMIF(logs!$M:$M,'p&amp;l'!$A29&amp;'p&amp;l'!G$3,logs!$V:$V)+AM29</f>
        <v>0</v>
      </c>
      <c r="H29" s="57">
        <f>SUMIF(logs!$M:$M,'p&amp;l'!$A29&amp;'p&amp;l'!H$3,logs!$V:$V)+AN29</f>
        <v>0</v>
      </c>
      <c r="I29" s="57">
        <f>SUMIF(logs!$M:$M,'p&amp;l'!$A29&amp;'p&amp;l'!I$3,logs!$V:$V)+AO29</f>
        <v>0</v>
      </c>
      <c r="J29" s="57">
        <f>SUMIF(logs!$M:$M,'p&amp;l'!$A29&amp;'p&amp;l'!J$3,logs!$V:$V)+AP29</f>
        <v>0</v>
      </c>
      <c r="K29" s="57">
        <f>SUMIF(logs!$M:$M,'p&amp;l'!$A29&amp;'p&amp;l'!K$3,logs!$V:$V)+AQ29</f>
        <v>0</v>
      </c>
      <c r="L29" s="57">
        <f>SUMIF(logs!$M:$M,'p&amp;l'!$A29&amp;'p&amp;l'!L$3,logs!$V:$V)+AR29</f>
        <v>0</v>
      </c>
      <c r="M29" s="57">
        <f>SUMIF(logs!$M:$M,'p&amp;l'!$A29&amp;'p&amp;l'!M$3,logs!$V:$V)+AS29</f>
        <v>0</v>
      </c>
      <c r="N29" s="57">
        <f>SUMIF(logs!$M:$M,'p&amp;l'!$A29&amp;'p&amp;l'!N$3,logs!$V:$V)+AT29</f>
        <v>0</v>
      </c>
      <c r="O29" s="58">
        <f t="shared" si="0"/>
        <v>0</v>
      </c>
      <c r="Q29" s="44" t="s">
        <v>114</v>
      </c>
      <c r="R29" s="57">
        <f ca="1">SUMIFS(logs!$V:$V,logs!$M:$M,'p&amp;l'!$Q29&amp;'p&amp;l'!R$3,logs!$A:$A,"&gt;"&amp;assumptions!$C$2)</f>
        <v>0</v>
      </c>
      <c r="S29" s="57">
        <f ca="1">SUMIFS(logs!$V:$V,logs!$M:$M,'p&amp;l'!$Q29&amp;'p&amp;l'!S$3,logs!$A:$A,"&gt;"&amp;assumptions!$C$2)</f>
        <v>0</v>
      </c>
      <c r="T29" s="57">
        <f ca="1">SUMIFS(logs!$V:$V,logs!$M:$M,'p&amp;l'!$Q29&amp;'p&amp;l'!T$3,logs!$A:$A,"&gt;"&amp;assumptions!$C$2)</f>
        <v>0</v>
      </c>
      <c r="U29" s="57">
        <f ca="1">SUMIFS(logs!$V:$V,logs!$M:$M,'p&amp;l'!$Q29&amp;'p&amp;l'!U$3,logs!$A:$A,"&gt;"&amp;assumptions!$C$2)</f>
        <v>0</v>
      </c>
      <c r="V29" s="57">
        <f ca="1">SUMIFS(logs!$V:$V,logs!$M:$M,'p&amp;l'!$Q29&amp;'p&amp;l'!V$3,logs!$A:$A,"&gt;"&amp;assumptions!$C$2)</f>
        <v>0</v>
      </c>
      <c r="W29" s="57">
        <f ca="1">SUMIFS(logs!$V:$V,logs!$M:$M,'p&amp;l'!$Q29&amp;'p&amp;l'!W$3,logs!$A:$A,"&gt;"&amp;assumptions!$C$2)</f>
        <v>0</v>
      </c>
      <c r="X29" s="57">
        <f ca="1">SUMIFS(logs!$V:$V,logs!$M:$M,'p&amp;l'!$Q29&amp;'p&amp;l'!X$3,logs!$A:$A,"&gt;"&amp;assumptions!$C$2)</f>
        <v>0</v>
      </c>
      <c r="Y29" s="57">
        <f ca="1">SUMIFS(logs!$V:$V,logs!$M:$M,'p&amp;l'!$Q29&amp;'p&amp;l'!Y$3,logs!$A:$A,"&gt;"&amp;assumptions!$C$2)</f>
        <v>0</v>
      </c>
      <c r="Z29" s="57">
        <f ca="1">SUMIFS(logs!$V:$V,logs!$M:$M,'p&amp;l'!$Q29&amp;'p&amp;l'!Z$3,logs!$A:$A,"&gt;"&amp;assumptions!$C$2)</f>
        <v>0</v>
      </c>
      <c r="AA29" s="57">
        <f ca="1">SUMIFS(logs!$V:$V,logs!$M:$M,'p&amp;l'!$Q29&amp;'p&amp;l'!AA$3,logs!$A:$A,"&gt;"&amp;assumptions!$C$2)</f>
        <v>0</v>
      </c>
      <c r="AB29" s="57">
        <f ca="1">SUMIFS(logs!$V:$V,logs!$M:$M,'p&amp;l'!$Q29&amp;'p&amp;l'!AB$3,logs!$A:$A,"&gt;"&amp;assumptions!$C$2)</f>
        <v>0</v>
      </c>
      <c r="AC29" s="57">
        <f ca="1">SUMIFS(logs!$V:$V,logs!$M:$M,'p&amp;l'!$Q29&amp;'p&amp;l'!AC$3,logs!$A:$A,"&gt;"&amp;assumptions!$C$2)</f>
        <v>0</v>
      </c>
      <c r="AD29" s="57">
        <f ca="1">SUMIFS(logs!$V:$V,logs!$M:$M,'p&amp;l'!$Q29&amp;'p&amp;l'!AD$3,logs!$A:$A,"&gt;"&amp;assumptions!$C$2)</f>
        <v>0</v>
      </c>
      <c r="AE29" s="58">
        <f t="shared" ca="1" si="1"/>
        <v>0</v>
      </c>
      <c r="AG29" s="44" t="s">
        <v>114</v>
      </c>
      <c r="AH29" s="57">
        <f>-SUMIF(logs!$M:$M,'p&amp;l'!$AG29&amp;'p&amp;l'!AH$3,logs!$R:$R)</f>
        <v>0</v>
      </c>
      <c r="AI29" s="57">
        <f>-SUMIF(logs!$M:$M,'p&amp;l'!$AG29&amp;'p&amp;l'!AI$3,logs!$R:$R)</f>
        <v>0</v>
      </c>
      <c r="AJ29" s="57">
        <f>-SUMIF(logs!$M:$M,'p&amp;l'!$AG29&amp;'p&amp;l'!AJ$3,logs!$R:$R)</f>
        <v>0</v>
      </c>
      <c r="AK29" s="57">
        <f>-SUMIF(logs!$M:$M,'p&amp;l'!$AG29&amp;'p&amp;l'!AK$3,logs!$R:$R)</f>
        <v>0</v>
      </c>
      <c r="AL29" s="57">
        <f>-SUMIF(logs!$M:$M,'p&amp;l'!$AG29&amp;'p&amp;l'!AL$3,logs!$R:$R)</f>
        <v>0</v>
      </c>
      <c r="AM29" s="57">
        <f>-SUMIF(logs!$M:$M,'p&amp;l'!$AG29&amp;'p&amp;l'!AM$3,logs!$R:$R)</f>
        <v>0</v>
      </c>
      <c r="AN29" s="57">
        <f>-SUMIF(logs!$M:$M,'p&amp;l'!$AG29&amp;'p&amp;l'!AN$3,logs!$R:$R)</f>
        <v>0</v>
      </c>
      <c r="AO29" s="57">
        <f>-SUMIF(logs!$M:$M,'p&amp;l'!$AG29&amp;'p&amp;l'!AO$3,logs!$R:$R)</f>
        <v>0</v>
      </c>
      <c r="AP29" s="57">
        <f>-SUMIF(logs!$M:$M,'p&amp;l'!$AG29&amp;'p&amp;l'!AP$3,logs!$R:$R)</f>
        <v>0</v>
      </c>
      <c r="AQ29" s="57">
        <f>-SUMIF(logs!$M:$M,'p&amp;l'!$AG29&amp;'p&amp;l'!AQ$3,logs!$R:$R)</f>
        <v>0</v>
      </c>
      <c r="AR29" s="57">
        <f>-SUMIF(logs!$M:$M,'p&amp;l'!$AG29&amp;'p&amp;l'!AR$3,logs!$R:$R)</f>
        <v>0</v>
      </c>
      <c r="AS29" s="57">
        <f>-SUMIF(logs!$M:$M,'p&amp;l'!$AG29&amp;'p&amp;l'!AS$3,logs!$R:$R)</f>
        <v>0</v>
      </c>
      <c r="AT29" s="57">
        <f>-SUMIF(logs!$M:$M,'p&amp;l'!$AG29&amp;'p&amp;l'!AT$3,logs!$R:$R)</f>
        <v>0</v>
      </c>
      <c r="AU29" s="58">
        <f t="shared" si="2"/>
        <v>0</v>
      </c>
    </row>
    <row r="30" spans="1:47" x14ac:dyDescent="0.35">
      <c r="A30" s="45" t="s">
        <v>118</v>
      </c>
      <c r="B30" s="59">
        <f>SUMIF(logs!$M:$M,'p&amp;l'!$A30&amp;'p&amp;l'!B$3,logs!$V:$V)+AH30</f>
        <v>0</v>
      </c>
      <c r="C30" s="59">
        <f>SUMIF(logs!$M:$M,'p&amp;l'!$A30&amp;'p&amp;l'!C$3,logs!$V:$V)+AI30</f>
        <v>0</v>
      </c>
      <c r="D30" s="59">
        <f>SUMIF(logs!$M:$M,'p&amp;l'!$A30&amp;'p&amp;l'!D$3,logs!$V:$V)+AJ30</f>
        <v>0</v>
      </c>
      <c r="E30" s="59">
        <f>SUMIF(logs!$M:$M,'p&amp;l'!$A30&amp;'p&amp;l'!E$3,logs!$V:$V)+AK30</f>
        <v>0</v>
      </c>
      <c r="F30" s="59">
        <f>SUMIF(logs!$M:$M,'p&amp;l'!$A30&amp;'p&amp;l'!F$3,logs!$V:$V)+AL30</f>
        <v>0</v>
      </c>
      <c r="G30" s="59">
        <f>SUMIF(logs!$M:$M,'p&amp;l'!$A30&amp;'p&amp;l'!G$3,logs!$V:$V)+AM30</f>
        <v>0</v>
      </c>
      <c r="H30" s="59">
        <f>SUMIF(logs!$M:$M,'p&amp;l'!$A30&amp;'p&amp;l'!H$3,logs!$V:$V)+AN30</f>
        <v>0</v>
      </c>
      <c r="I30" s="59">
        <f>SUMIF(logs!$M:$M,'p&amp;l'!$A30&amp;'p&amp;l'!I$3,logs!$V:$V)+AO30</f>
        <v>0</v>
      </c>
      <c r="J30" s="59">
        <f>SUMIF(logs!$M:$M,'p&amp;l'!$A30&amp;'p&amp;l'!J$3,logs!$V:$V)+AP30</f>
        <v>0</v>
      </c>
      <c r="K30" s="59">
        <f>SUMIF(logs!$M:$M,'p&amp;l'!$A30&amp;'p&amp;l'!K$3,logs!$V:$V)+AQ30</f>
        <v>0</v>
      </c>
      <c r="L30" s="59">
        <f>SUMIF(logs!$M:$M,'p&amp;l'!$A30&amp;'p&amp;l'!L$3,logs!$V:$V)+AR30</f>
        <v>0</v>
      </c>
      <c r="M30" s="59">
        <f>SUMIF(logs!$M:$M,'p&amp;l'!$A30&amp;'p&amp;l'!M$3,logs!$V:$V)+AS30</f>
        <v>0</v>
      </c>
      <c r="N30" s="59">
        <f>SUMIF(logs!$M:$M,'p&amp;l'!$A30&amp;'p&amp;l'!N$3,logs!$V:$V)+AT30</f>
        <v>0</v>
      </c>
      <c r="O30" s="60">
        <f t="shared" si="0"/>
        <v>0</v>
      </c>
      <c r="Q30" s="45" t="s">
        <v>118</v>
      </c>
      <c r="R30" s="59">
        <f ca="1">SUMIFS(logs!$V:$V,logs!$M:$M,'p&amp;l'!$Q30&amp;'p&amp;l'!R$3,logs!$A:$A,"&gt;"&amp;assumptions!$C$2)</f>
        <v>0</v>
      </c>
      <c r="S30" s="59">
        <f ca="1">SUMIFS(logs!$V:$V,logs!$M:$M,'p&amp;l'!$Q30&amp;'p&amp;l'!S$3,logs!$A:$A,"&gt;"&amp;assumptions!$C$2)</f>
        <v>0</v>
      </c>
      <c r="T30" s="59">
        <f ca="1">SUMIFS(logs!$V:$V,logs!$M:$M,'p&amp;l'!$Q30&amp;'p&amp;l'!T$3,logs!$A:$A,"&gt;"&amp;assumptions!$C$2)</f>
        <v>0</v>
      </c>
      <c r="U30" s="59">
        <f ca="1">SUMIFS(logs!$V:$V,logs!$M:$M,'p&amp;l'!$Q30&amp;'p&amp;l'!U$3,logs!$A:$A,"&gt;"&amp;assumptions!$C$2)</f>
        <v>0</v>
      </c>
      <c r="V30" s="59">
        <f ca="1">SUMIFS(logs!$V:$V,logs!$M:$M,'p&amp;l'!$Q30&amp;'p&amp;l'!V$3,logs!$A:$A,"&gt;"&amp;assumptions!$C$2)</f>
        <v>0</v>
      </c>
      <c r="W30" s="59">
        <f ca="1">SUMIFS(logs!$V:$V,logs!$M:$M,'p&amp;l'!$Q30&amp;'p&amp;l'!W$3,logs!$A:$A,"&gt;"&amp;assumptions!$C$2)</f>
        <v>0</v>
      </c>
      <c r="X30" s="59">
        <f ca="1">SUMIFS(logs!$V:$V,logs!$M:$M,'p&amp;l'!$Q30&amp;'p&amp;l'!X$3,logs!$A:$A,"&gt;"&amp;assumptions!$C$2)</f>
        <v>0</v>
      </c>
      <c r="Y30" s="59">
        <f ca="1">SUMIFS(logs!$V:$V,logs!$M:$M,'p&amp;l'!$Q30&amp;'p&amp;l'!Y$3,logs!$A:$A,"&gt;"&amp;assumptions!$C$2)</f>
        <v>0</v>
      </c>
      <c r="Z30" s="59">
        <f ca="1">SUMIFS(logs!$V:$V,logs!$M:$M,'p&amp;l'!$Q30&amp;'p&amp;l'!Z$3,logs!$A:$A,"&gt;"&amp;assumptions!$C$2)</f>
        <v>0</v>
      </c>
      <c r="AA30" s="59">
        <f ca="1">SUMIFS(logs!$V:$V,logs!$M:$M,'p&amp;l'!$Q30&amp;'p&amp;l'!AA$3,logs!$A:$A,"&gt;"&amp;assumptions!$C$2)</f>
        <v>0</v>
      </c>
      <c r="AB30" s="59">
        <f ca="1">SUMIFS(logs!$V:$V,logs!$M:$M,'p&amp;l'!$Q30&amp;'p&amp;l'!AB$3,logs!$A:$A,"&gt;"&amp;assumptions!$C$2)</f>
        <v>0</v>
      </c>
      <c r="AC30" s="59">
        <f ca="1">SUMIFS(logs!$V:$V,logs!$M:$M,'p&amp;l'!$Q30&amp;'p&amp;l'!AC$3,logs!$A:$A,"&gt;"&amp;assumptions!$C$2)</f>
        <v>0</v>
      </c>
      <c r="AD30" s="59">
        <f ca="1">SUMIFS(logs!$V:$V,logs!$M:$M,'p&amp;l'!$Q30&amp;'p&amp;l'!AD$3,logs!$A:$A,"&gt;"&amp;assumptions!$C$2)</f>
        <v>0</v>
      </c>
      <c r="AE30" s="60">
        <f t="shared" ca="1" si="1"/>
        <v>0</v>
      </c>
      <c r="AG30" s="45" t="s">
        <v>118</v>
      </c>
      <c r="AH30" s="59">
        <f>-SUMIF(logs!$M:$M,'p&amp;l'!$AG30&amp;'p&amp;l'!AH$3,logs!$R:$R)</f>
        <v>0</v>
      </c>
      <c r="AI30" s="59">
        <f>-SUMIF(logs!$M:$M,'p&amp;l'!$AG30&amp;'p&amp;l'!AI$3,logs!$R:$R)</f>
        <v>0</v>
      </c>
      <c r="AJ30" s="59">
        <f>-SUMIF(logs!$M:$M,'p&amp;l'!$AG30&amp;'p&amp;l'!AJ$3,logs!$R:$R)</f>
        <v>0</v>
      </c>
      <c r="AK30" s="59">
        <f>-SUMIF(logs!$M:$M,'p&amp;l'!$AG30&amp;'p&amp;l'!AK$3,logs!$R:$R)</f>
        <v>0</v>
      </c>
      <c r="AL30" s="59">
        <f>-SUMIF(logs!$M:$M,'p&amp;l'!$AG30&amp;'p&amp;l'!AL$3,logs!$R:$R)</f>
        <v>0</v>
      </c>
      <c r="AM30" s="59">
        <f>-SUMIF(logs!$M:$M,'p&amp;l'!$AG30&amp;'p&amp;l'!AM$3,logs!$R:$R)</f>
        <v>0</v>
      </c>
      <c r="AN30" s="59">
        <f>-SUMIF(logs!$M:$M,'p&amp;l'!$AG30&amp;'p&amp;l'!AN$3,logs!$R:$R)</f>
        <v>0</v>
      </c>
      <c r="AO30" s="59">
        <f>-SUMIF(logs!$M:$M,'p&amp;l'!$AG30&amp;'p&amp;l'!AO$3,logs!$R:$R)</f>
        <v>0</v>
      </c>
      <c r="AP30" s="59">
        <f>-SUMIF(logs!$M:$M,'p&amp;l'!$AG30&amp;'p&amp;l'!AP$3,logs!$R:$R)</f>
        <v>0</v>
      </c>
      <c r="AQ30" s="59">
        <f>-SUMIF(logs!$M:$M,'p&amp;l'!$AG30&amp;'p&amp;l'!AQ$3,logs!$R:$R)</f>
        <v>0</v>
      </c>
      <c r="AR30" s="59">
        <f>-SUMIF(logs!$M:$M,'p&amp;l'!$AG30&amp;'p&amp;l'!AR$3,logs!$R:$R)</f>
        <v>0</v>
      </c>
      <c r="AS30" s="59">
        <f>-SUMIF(logs!$M:$M,'p&amp;l'!$AG30&amp;'p&amp;l'!AS$3,logs!$R:$R)</f>
        <v>0</v>
      </c>
      <c r="AT30" s="59">
        <f>-SUMIF(logs!$M:$M,'p&amp;l'!$AG30&amp;'p&amp;l'!AT$3,logs!$R:$R)</f>
        <v>0</v>
      </c>
      <c r="AU30" s="60">
        <f t="shared" si="2"/>
        <v>0</v>
      </c>
    </row>
    <row r="31" spans="1:47" x14ac:dyDescent="0.35">
      <c r="A31" s="47" t="s">
        <v>204</v>
      </c>
      <c r="B31" s="63">
        <f>SUM(B4:B30)</f>
        <v>100476.59999999992</v>
      </c>
      <c r="C31" s="63">
        <f t="shared" ref="C31:O31" si="3">SUM(C4:C30)</f>
        <v>-76522</v>
      </c>
      <c r="D31" s="63">
        <f t="shared" si="3"/>
        <v>-566925.27344903757</v>
      </c>
      <c r="E31" s="63">
        <f t="shared" si="3"/>
        <v>385784.00000000006</v>
      </c>
      <c r="F31" s="63">
        <f t="shared" si="3"/>
        <v>199619.84866047604</v>
      </c>
      <c r="G31" s="63">
        <f t="shared" si="3"/>
        <v>0</v>
      </c>
      <c r="H31" s="63">
        <f t="shared" si="3"/>
        <v>-44899.421978352555</v>
      </c>
      <c r="I31" s="63">
        <f t="shared" si="3"/>
        <v>21820.500000000033</v>
      </c>
      <c r="J31" s="63">
        <f t="shared" si="3"/>
        <v>28455.539999999986</v>
      </c>
      <c r="K31" s="63">
        <f t="shared" si="3"/>
        <v>99455.139999999883</v>
      </c>
      <c r="L31" s="63">
        <f t="shared" si="3"/>
        <v>38126.279999999831</v>
      </c>
      <c r="M31" s="63">
        <f t="shared" si="3"/>
        <v>0</v>
      </c>
      <c r="N31" s="63">
        <f t="shared" si="3"/>
        <v>0</v>
      </c>
      <c r="O31" s="64">
        <f t="shared" si="3"/>
        <v>185391.21323308564</v>
      </c>
      <c r="Q31" s="47" t="s">
        <v>204</v>
      </c>
      <c r="R31" s="63">
        <f ca="1">SUM(R4:R30)</f>
        <v>0</v>
      </c>
      <c r="S31" s="63">
        <f t="shared" ref="S31:AE31" ca="1" si="4">SUM(S4:S30)</f>
        <v>-76500</v>
      </c>
      <c r="T31" s="63">
        <f t="shared" ca="1" si="4"/>
        <v>-78611.67521652815</v>
      </c>
      <c r="U31" s="63">
        <f t="shared" ca="1" si="4"/>
        <v>-46500</v>
      </c>
      <c r="V31" s="63">
        <f t="shared" ca="1" si="4"/>
        <v>0</v>
      </c>
      <c r="W31" s="63">
        <f t="shared" ca="1" si="4"/>
        <v>0</v>
      </c>
      <c r="X31" s="63">
        <f t="shared" ca="1" si="4"/>
        <v>83517.969671682979</v>
      </c>
      <c r="Y31" s="63">
        <f t="shared" ca="1" si="4"/>
        <v>19062.40000000002</v>
      </c>
      <c r="Z31" s="63">
        <f t="shared" ca="1" si="4"/>
        <v>0</v>
      </c>
      <c r="AA31" s="63">
        <f t="shared" ca="1" si="4"/>
        <v>-60000</v>
      </c>
      <c r="AB31" s="63">
        <f t="shared" ca="1" si="4"/>
        <v>0</v>
      </c>
      <c r="AC31" s="63">
        <f t="shared" ca="1" si="4"/>
        <v>0</v>
      </c>
      <c r="AD31" s="63">
        <f t="shared" ca="1" si="4"/>
        <v>0</v>
      </c>
      <c r="AE31" s="64">
        <f t="shared" ca="1" si="4"/>
        <v>-159031.30554484515</v>
      </c>
      <c r="AG31" s="47" t="s">
        <v>204</v>
      </c>
      <c r="AH31" s="63">
        <f>SUM(AH4:AH30)</f>
        <v>-23.400000000000002</v>
      </c>
      <c r="AI31" s="63">
        <f t="shared" ref="AI31:AU31" si="5">SUM(AI4:AI30)</f>
        <v>-22</v>
      </c>
      <c r="AJ31" s="63">
        <f t="shared" si="5"/>
        <v>-190.16900605325208</v>
      </c>
      <c r="AK31" s="63">
        <f t="shared" si="5"/>
        <v>-216</v>
      </c>
      <c r="AL31" s="63">
        <f t="shared" si="5"/>
        <v>-178.9699324160062</v>
      </c>
      <c r="AM31" s="63">
        <f t="shared" si="5"/>
        <v>0</v>
      </c>
      <c r="AN31" s="63">
        <f t="shared" si="5"/>
        <v>-64.497636910171167</v>
      </c>
      <c r="AO31" s="63">
        <f t="shared" si="5"/>
        <v>-97.9</v>
      </c>
      <c r="AP31" s="63">
        <f t="shared" si="5"/>
        <v>-44.46</v>
      </c>
      <c r="AQ31" s="63">
        <f t="shared" si="5"/>
        <v>-340.85999999999996</v>
      </c>
      <c r="AR31" s="63">
        <f t="shared" si="5"/>
        <v>-57.72</v>
      </c>
      <c r="AS31" s="63">
        <f t="shared" si="5"/>
        <v>0</v>
      </c>
      <c r="AT31" s="63">
        <f t="shared" si="5"/>
        <v>0</v>
      </c>
      <c r="AU31" s="64">
        <f t="shared" si="5"/>
        <v>-1235.9765753794293</v>
      </c>
    </row>
    <row r="34" spans="1:47" x14ac:dyDescent="0.35">
      <c r="A34" s="94" t="s">
        <v>300</v>
      </c>
      <c r="B34" s="43" t="s">
        <v>21</v>
      </c>
      <c r="C34" s="43" t="s">
        <v>24</v>
      </c>
      <c r="D34" s="43" t="s">
        <v>26</v>
      </c>
      <c r="E34" s="43" t="s">
        <v>29</v>
      </c>
      <c r="F34" s="43" t="s">
        <v>4</v>
      </c>
      <c r="G34" s="43" t="s">
        <v>35</v>
      </c>
      <c r="H34" s="43" t="s">
        <v>38</v>
      </c>
      <c r="I34" s="43" t="s">
        <v>41</v>
      </c>
      <c r="J34" s="43" t="s">
        <v>46</v>
      </c>
      <c r="K34" s="43" t="s">
        <v>6</v>
      </c>
      <c r="L34" s="43" t="s">
        <v>51</v>
      </c>
      <c r="M34" s="43" t="s">
        <v>54</v>
      </c>
      <c r="N34" s="43" t="s">
        <v>57</v>
      </c>
      <c r="O34" s="47" t="s">
        <v>204</v>
      </c>
      <c r="Q34" s="94" t="s">
        <v>302</v>
      </c>
      <c r="R34" s="43" t="s">
        <v>21</v>
      </c>
      <c r="S34" s="43" t="s">
        <v>24</v>
      </c>
      <c r="T34" s="43" t="s">
        <v>26</v>
      </c>
      <c r="U34" s="43" t="s">
        <v>29</v>
      </c>
      <c r="V34" s="43" t="s">
        <v>4</v>
      </c>
      <c r="W34" s="43" t="s">
        <v>35</v>
      </c>
      <c r="X34" s="43" t="s">
        <v>38</v>
      </c>
      <c r="Y34" s="43" t="s">
        <v>41</v>
      </c>
      <c r="Z34" s="43" t="s">
        <v>46</v>
      </c>
      <c r="AA34" s="43" t="s">
        <v>6</v>
      </c>
      <c r="AB34" s="43" t="s">
        <v>51</v>
      </c>
      <c r="AC34" s="43" t="s">
        <v>54</v>
      </c>
      <c r="AD34" s="43" t="s">
        <v>57</v>
      </c>
      <c r="AE34" s="47" t="s">
        <v>204</v>
      </c>
      <c r="AG34" s="94" t="s">
        <v>281</v>
      </c>
      <c r="AH34" s="43" t="s">
        <v>21</v>
      </c>
      <c r="AI34" s="43" t="s">
        <v>24</v>
      </c>
      <c r="AJ34" s="43" t="s">
        <v>26</v>
      </c>
      <c r="AK34" s="43" t="s">
        <v>29</v>
      </c>
      <c r="AL34" s="43" t="s">
        <v>4</v>
      </c>
      <c r="AM34" s="43" t="s">
        <v>35</v>
      </c>
      <c r="AN34" s="43" t="s">
        <v>38</v>
      </c>
      <c r="AO34" s="43" t="s">
        <v>41</v>
      </c>
      <c r="AP34" s="43" t="s">
        <v>46</v>
      </c>
      <c r="AQ34" s="43" t="s">
        <v>6</v>
      </c>
      <c r="AR34" s="43" t="s">
        <v>51</v>
      </c>
      <c r="AS34" s="43" t="s">
        <v>54</v>
      </c>
      <c r="AT34" s="43" t="s">
        <v>57</v>
      </c>
      <c r="AU34" s="47" t="s">
        <v>204</v>
      </c>
    </row>
    <row r="35" spans="1:47" x14ac:dyDescent="0.35">
      <c r="A35" s="44" t="s">
        <v>3</v>
      </c>
      <c r="B35" s="57">
        <f ca="1">SUMIF(logs!$M:$M,'p&amp;l'!$A35&amp;'p&amp;l'!B$34,logs!$W:$W)+AH35</f>
        <v>0</v>
      </c>
      <c r="C35" s="57">
        <f ca="1">SUMIF(logs!$M:$M,'p&amp;l'!$A35&amp;'p&amp;l'!C$34,logs!$W:$W)+AI35</f>
        <v>0</v>
      </c>
      <c r="D35" s="57">
        <f ca="1">SUMIF(logs!$M:$M,'p&amp;l'!$A35&amp;'p&amp;l'!D$34,logs!$W:$W)+AJ35</f>
        <v>0</v>
      </c>
      <c r="E35" s="57">
        <f ca="1">SUMIF(logs!$M:$M,'p&amp;l'!$A35&amp;'p&amp;l'!E$34,logs!$W:$W)+AK35</f>
        <v>0</v>
      </c>
      <c r="F35" s="57">
        <f ca="1">SUMIF(logs!$M:$M,'p&amp;l'!$A35&amp;'p&amp;l'!F$34,logs!$W:$W)+AL35</f>
        <v>103780.5600000003</v>
      </c>
      <c r="G35" s="57">
        <f ca="1">SUMIF(logs!$M:$M,'p&amp;l'!$A35&amp;'p&amp;l'!G$34,logs!$W:$W)+AM35</f>
        <v>0</v>
      </c>
      <c r="H35" s="57">
        <f ca="1">SUMIF(logs!$M:$M,'p&amp;l'!$A35&amp;'p&amp;l'!H$34,logs!$W:$W)+AN35</f>
        <v>0</v>
      </c>
      <c r="I35" s="57">
        <f ca="1">SUMIF(logs!$M:$M,'p&amp;l'!$A35&amp;'p&amp;l'!I$34,logs!$W:$W)+AO35</f>
        <v>0</v>
      </c>
      <c r="J35" s="57">
        <f ca="1">SUMIF(logs!$M:$M,'p&amp;l'!$A35&amp;'p&amp;l'!J$34,logs!$W:$W)+AP35</f>
        <v>0</v>
      </c>
      <c r="K35" s="57">
        <f ca="1">SUMIF(logs!$M:$M,'p&amp;l'!$A35&amp;'p&amp;l'!K$34,logs!$W:$W)+AQ35</f>
        <v>24892.800000000025</v>
      </c>
      <c r="L35" s="57">
        <f ca="1">SUMIF(logs!$M:$M,'p&amp;l'!$A35&amp;'p&amp;l'!L$34,logs!$W:$W)+AR35</f>
        <v>40346.280000000042</v>
      </c>
      <c r="M35" s="57">
        <f ca="1">SUMIF(logs!$M:$M,'p&amp;l'!$A35&amp;'p&amp;l'!M$34,logs!$W:$W)+AS35</f>
        <v>0</v>
      </c>
      <c r="N35" s="57">
        <f ca="1">SUMIF(logs!$M:$M,'p&amp;l'!$A35&amp;'p&amp;l'!N$34,logs!$W:$W)+AT35</f>
        <v>0</v>
      </c>
      <c r="O35" s="58">
        <f ca="1">SUM(B35:N35)</f>
        <v>169019.64000000036</v>
      </c>
      <c r="Q35" s="44" t="s">
        <v>3</v>
      </c>
      <c r="R35" s="57">
        <f ca="1">B35-SUMIF(logs!$M:$M,'p&amp;l'!$Q35&amp;'p&amp;l'!R$34,logs!$X:$X)</f>
        <v>0</v>
      </c>
      <c r="S35" s="57">
        <f ca="1">C35-SUMIF(logs!$M:$M,'p&amp;l'!$Q35&amp;'p&amp;l'!S$34,logs!$X:$X)</f>
        <v>0</v>
      </c>
      <c r="T35" s="57">
        <f ca="1">D35-SUMIF(logs!$M:$M,'p&amp;l'!$Q35&amp;'p&amp;l'!T$34,logs!$X:$X)</f>
        <v>0</v>
      </c>
      <c r="U35" s="57">
        <f ca="1">E35-SUMIF(logs!$M:$M,'p&amp;l'!$Q35&amp;'p&amp;l'!U$34,logs!$X:$X)</f>
        <v>0</v>
      </c>
      <c r="V35" s="57">
        <f ca="1">F35-SUMIF(logs!$M:$M,'p&amp;l'!$Q35&amp;'p&amp;l'!V$34,logs!$X:$X)</f>
        <v>158836.5600000002</v>
      </c>
      <c r="W35" s="57">
        <f ca="1">G35-SUMIF(logs!$M:$M,'p&amp;l'!$Q35&amp;'p&amp;l'!W$34,logs!$X:$X)</f>
        <v>0</v>
      </c>
      <c r="X35" s="57">
        <f ca="1">H35-SUMIF(logs!$M:$M,'p&amp;l'!$Q35&amp;'p&amp;l'!X$34,logs!$X:$X)</f>
        <v>0</v>
      </c>
      <c r="Y35" s="57">
        <f ca="1">I35-SUMIF(logs!$M:$M,'p&amp;l'!$Q35&amp;'p&amp;l'!Y$34,logs!$X:$X)</f>
        <v>0</v>
      </c>
      <c r="Z35" s="57">
        <f ca="1">J35-SUMIF(logs!$M:$M,'p&amp;l'!$Q35&amp;'p&amp;l'!Z$34,logs!$X:$X)</f>
        <v>0</v>
      </c>
      <c r="AA35" s="57">
        <f ca="1">K35-SUMIF(logs!$M:$M,'p&amp;l'!$Q35&amp;'p&amp;l'!AA$34,logs!$X:$X)</f>
        <v>100612.79999999973</v>
      </c>
      <c r="AB35" s="57">
        <f ca="1">L35-SUMIF(logs!$M:$M,'p&amp;l'!$Q35&amp;'p&amp;l'!AB$34,logs!$X:$X)</f>
        <v>25694.280000000195</v>
      </c>
      <c r="AC35" s="57">
        <f ca="1">M35-SUMIF(logs!$M:$M,'p&amp;l'!$Q35&amp;'p&amp;l'!AC$34,logs!$X:$X)</f>
        <v>0</v>
      </c>
      <c r="AD35" s="57">
        <f ca="1">N35-SUMIF(logs!$M:$M,'p&amp;l'!$Q35&amp;'p&amp;l'!AD$34,logs!$X:$X)</f>
        <v>0</v>
      </c>
      <c r="AE35" s="58">
        <f ca="1">SUM(R35:AD35)</f>
        <v>285143.64000000013</v>
      </c>
      <c r="AG35" s="44" t="s">
        <v>3</v>
      </c>
      <c r="AH35" s="57">
        <f ca="1">-SUMIFS(logs!$R:$R,logs!$M:$M,'p&amp;l'!$AG35&amp;'p&amp;l'!AH$34,logs!$A:$A,"&lt;="&amp;assumptions!$C$2)</f>
        <v>0</v>
      </c>
      <c r="AI35" s="57">
        <f ca="1">-SUMIFS(logs!$R:$R,logs!$M:$M,'p&amp;l'!$AG35&amp;'p&amp;l'!AI$34,logs!$A:$A,"&lt;="&amp;assumptions!$C$2)</f>
        <v>0</v>
      </c>
      <c r="AJ35" s="57">
        <f ca="1">-SUMIFS(logs!$R:$R,logs!$M:$M,'p&amp;l'!$AG35&amp;'p&amp;l'!AJ$34,logs!$A:$A,"&lt;="&amp;assumptions!$C$2)</f>
        <v>0</v>
      </c>
      <c r="AK35" s="57">
        <f ca="1">-SUMIFS(logs!$R:$R,logs!$M:$M,'p&amp;l'!$AG35&amp;'p&amp;l'!AK$34,logs!$A:$A,"&lt;="&amp;assumptions!$C$2)</f>
        <v>0</v>
      </c>
      <c r="AL35" s="57">
        <f ca="1">-SUMIFS(logs!$R:$R,logs!$M:$M,'p&amp;l'!$AG35&amp;'p&amp;l'!AL$34,logs!$A:$A,"&lt;="&amp;assumptions!$C$2)</f>
        <v>-115.44</v>
      </c>
      <c r="AM35" s="57">
        <f ca="1">-SUMIFS(logs!$R:$R,logs!$M:$M,'p&amp;l'!$AG35&amp;'p&amp;l'!AM$34,logs!$A:$A,"&lt;="&amp;assumptions!$C$2)</f>
        <v>0</v>
      </c>
      <c r="AN35" s="57">
        <f ca="1">-SUMIFS(logs!$R:$R,logs!$M:$M,'p&amp;l'!$AG35&amp;'p&amp;l'!AN$34,logs!$A:$A,"&lt;="&amp;assumptions!$C$2)</f>
        <v>0</v>
      </c>
      <c r="AO35" s="57">
        <f ca="1">-SUMIFS(logs!$R:$R,logs!$M:$M,'p&amp;l'!$AG35&amp;'p&amp;l'!AO$34,logs!$A:$A,"&lt;="&amp;assumptions!$C$2)</f>
        <v>0</v>
      </c>
      <c r="AP35" s="57">
        <f ca="1">-SUMIFS(logs!$R:$R,logs!$M:$M,'p&amp;l'!$AG35&amp;'p&amp;l'!AP$34,logs!$A:$A,"&lt;="&amp;assumptions!$C$2)</f>
        <v>0</v>
      </c>
      <c r="AQ35" s="57">
        <f ca="1">-SUMIFS(logs!$R:$R,logs!$M:$M,'p&amp;l'!$AG35&amp;'p&amp;l'!AQ$34,logs!$A:$A,"&lt;="&amp;assumptions!$C$2)</f>
        <v>-187.2</v>
      </c>
      <c r="AR35" s="57">
        <f ca="1">-SUMIFS(logs!$R:$R,logs!$M:$M,'p&amp;l'!$AG35&amp;'p&amp;l'!AR$34,logs!$A:$A,"&lt;="&amp;assumptions!$C$2)</f>
        <v>-57.72</v>
      </c>
      <c r="AS35" s="57">
        <f ca="1">-SUMIFS(logs!$R:$R,logs!$M:$M,'p&amp;l'!$AG35&amp;'p&amp;l'!AS$34,logs!$A:$A,"&lt;="&amp;assumptions!$C$2)</f>
        <v>0</v>
      </c>
      <c r="AT35" s="57">
        <f ca="1">-SUMIFS(logs!$R:$R,logs!$M:$M,'p&amp;l'!$AG35&amp;'p&amp;l'!AT$34,logs!$A:$A,"&lt;="&amp;assumptions!$C$2)</f>
        <v>0</v>
      </c>
      <c r="AU35" s="58">
        <f ca="1">SUM(AH35:AT35)</f>
        <v>-360.36</v>
      </c>
    </row>
    <row r="36" spans="1:47" x14ac:dyDescent="0.35">
      <c r="A36" s="44" t="s">
        <v>18</v>
      </c>
      <c r="B36" s="57">
        <f ca="1">SUMIF(logs!$M:$M,'p&amp;l'!$A36&amp;'p&amp;l'!B$34,logs!$W:$W)+AH36</f>
        <v>0</v>
      </c>
      <c r="C36" s="57">
        <f ca="1">SUMIF(logs!$M:$M,'p&amp;l'!$A36&amp;'p&amp;l'!C$34,logs!$W:$W)+AI36</f>
        <v>0</v>
      </c>
      <c r="D36" s="57">
        <f ca="1">SUMIF(logs!$M:$M,'p&amp;l'!$A36&amp;'p&amp;l'!D$34,logs!$W:$W)+AJ36</f>
        <v>48123.985024553876</v>
      </c>
      <c r="E36" s="57">
        <f ca="1">SUMIF(logs!$M:$M,'p&amp;l'!$A36&amp;'p&amp;l'!E$34,logs!$W:$W)+AK36</f>
        <v>0</v>
      </c>
      <c r="F36" s="57">
        <f ca="1">SUMIF(logs!$M:$M,'p&amp;l'!$A36&amp;'p&amp;l'!F$34,logs!$W:$W)+AL36</f>
        <v>119107.69679583794</v>
      </c>
      <c r="G36" s="57">
        <f ca="1">SUMIF(logs!$M:$M,'p&amp;l'!$A36&amp;'p&amp;l'!G$34,logs!$W:$W)+AM36</f>
        <v>0</v>
      </c>
      <c r="H36" s="57">
        <f ca="1">SUMIF(logs!$M:$M,'p&amp;l'!$A36&amp;'p&amp;l'!H$34,logs!$W:$W)+AN36</f>
        <v>-70030.242621675337</v>
      </c>
      <c r="I36" s="57">
        <f ca="1">SUMIF(logs!$M:$M,'p&amp;l'!$A36&amp;'p&amp;l'!I$34,logs!$W:$W)+AO36</f>
        <v>0</v>
      </c>
      <c r="J36" s="57">
        <f ca="1">SUMIF(logs!$M:$M,'p&amp;l'!$A36&amp;'p&amp;l'!J$34,logs!$W:$W)+AP36</f>
        <v>0</v>
      </c>
      <c r="K36" s="57">
        <f ca="1">SUMIF(logs!$M:$M,'p&amp;l'!$A36&amp;'p&amp;l'!K$34,logs!$W:$W)+AQ36</f>
        <v>0</v>
      </c>
      <c r="L36" s="57">
        <f ca="1">SUMIF(logs!$M:$M,'p&amp;l'!$A36&amp;'p&amp;l'!L$34,logs!$W:$W)+AR36</f>
        <v>0</v>
      </c>
      <c r="M36" s="57">
        <f ca="1">SUMIF(logs!$M:$M,'p&amp;l'!$A36&amp;'p&amp;l'!M$34,logs!$W:$W)+AS36</f>
        <v>0</v>
      </c>
      <c r="N36" s="57">
        <f ca="1">SUMIF(logs!$M:$M,'p&amp;l'!$A36&amp;'p&amp;l'!N$34,logs!$W:$W)+AT36</f>
        <v>0</v>
      </c>
      <c r="O36" s="58">
        <f t="shared" ref="O36:O61" ca="1" si="6">SUM(B36:N36)</f>
        <v>97201.439198716485</v>
      </c>
      <c r="Q36" s="44" t="s">
        <v>18</v>
      </c>
      <c r="R36" s="57">
        <f ca="1">B36-SUMIF(logs!$M:$M,'p&amp;l'!$Q36&amp;'p&amp;l'!R$34,logs!$X:$X)</f>
        <v>0</v>
      </c>
      <c r="S36" s="57">
        <f ca="1">C36-SUMIF(logs!$M:$M,'p&amp;l'!$Q36&amp;'p&amp;l'!S$34,logs!$X:$X)</f>
        <v>0</v>
      </c>
      <c r="T36" s="57">
        <f ca="1">D36-SUMIF(logs!$M:$M,'p&amp;l'!$Q36&amp;'p&amp;l'!T$34,logs!$X:$X)</f>
        <v>105011.23158457718</v>
      </c>
      <c r="U36" s="57">
        <f ca="1">E36-SUMIF(logs!$M:$M,'p&amp;l'!$Q36&amp;'p&amp;l'!U$34,logs!$X:$X)</f>
        <v>0</v>
      </c>
      <c r="V36" s="57">
        <f ca="1">F36-SUMIF(logs!$M:$M,'p&amp;l'!$Q36&amp;'p&amp;l'!V$34,logs!$X:$X)</f>
        <v>10681.577283998675</v>
      </c>
      <c r="W36" s="57">
        <f ca="1">G36-SUMIF(logs!$M:$M,'p&amp;l'!$Q36&amp;'p&amp;l'!W$34,logs!$X:$X)</f>
        <v>0</v>
      </c>
      <c r="X36" s="57">
        <f ca="1">H36-SUMIF(logs!$M:$M,'p&amp;l'!$Q36&amp;'p&amp;l'!X$34,logs!$X:$X)</f>
        <v>-9253.2698011377433</v>
      </c>
      <c r="Y36" s="57">
        <f ca="1">I36-SUMIF(logs!$M:$M,'p&amp;l'!$Q36&amp;'p&amp;l'!Y$34,logs!$X:$X)</f>
        <v>0</v>
      </c>
      <c r="Z36" s="57">
        <f ca="1">J36-SUMIF(logs!$M:$M,'p&amp;l'!$Q36&amp;'p&amp;l'!Z$34,logs!$X:$X)</f>
        <v>0</v>
      </c>
      <c r="AA36" s="57">
        <f ca="1">K36-SUMIF(logs!$M:$M,'p&amp;l'!$Q36&amp;'p&amp;l'!AA$34,logs!$X:$X)</f>
        <v>0</v>
      </c>
      <c r="AB36" s="57">
        <f ca="1">L36-SUMIF(logs!$M:$M,'p&amp;l'!$Q36&amp;'p&amp;l'!AB$34,logs!$X:$X)</f>
        <v>0</v>
      </c>
      <c r="AC36" s="57">
        <f ca="1">M36-SUMIF(logs!$M:$M,'p&amp;l'!$Q36&amp;'p&amp;l'!AC$34,logs!$X:$X)</f>
        <v>0</v>
      </c>
      <c r="AD36" s="57">
        <f ca="1">N36-SUMIF(logs!$M:$M,'p&amp;l'!$Q36&amp;'p&amp;l'!AD$34,logs!$X:$X)</f>
        <v>0</v>
      </c>
      <c r="AE36" s="58">
        <f t="shared" ref="AE36:AE61" ca="1" si="7">SUM(R36:AD36)</f>
        <v>106439.53906743811</v>
      </c>
      <c r="AG36" s="44" t="s">
        <v>18</v>
      </c>
      <c r="AH36" s="57">
        <f ca="1">-SUMIFS(logs!$R:$R,logs!$M:$M,'p&amp;l'!$AG36&amp;'p&amp;l'!AH$34,logs!$A:$A,"&lt;="&amp;assumptions!$C$2)</f>
        <v>0</v>
      </c>
      <c r="AI36" s="57">
        <f ca="1">-SUMIFS(logs!$R:$R,logs!$M:$M,'p&amp;l'!$AG36&amp;'p&amp;l'!AI$34,logs!$A:$A,"&lt;="&amp;assumptions!$C$2)</f>
        <v>0</v>
      </c>
      <c r="AJ36" s="57">
        <f ca="1">-SUMIFS(logs!$R:$R,logs!$M:$M,'p&amp;l'!$AG36&amp;'p&amp;l'!AJ$34,logs!$A:$A,"&lt;="&amp;assumptions!$C$2)</f>
        <v>-11.377449312004668</v>
      </c>
      <c r="AK36" s="57">
        <f ca="1">-SUMIFS(logs!$R:$R,logs!$M:$M,'p&amp;l'!$AG36&amp;'p&amp;l'!AK$34,logs!$A:$A,"&lt;="&amp;assumptions!$C$2)</f>
        <v>0</v>
      </c>
      <c r="AL36" s="57">
        <f ca="1">-SUMIFS(logs!$R:$R,logs!$M:$M,'p&amp;l'!$AG36&amp;'p&amp;l'!AL$34,logs!$A:$A,"&lt;="&amp;assumptions!$C$2)</f>
        <v>-15.169932416006224</v>
      </c>
      <c r="AM36" s="57">
        <f ca="1">-SUMIFS(logs!$R:$R,logs!$M:$M,'p&amp;l'!$AG36&amp;'p&amp;l'!AM$34,logs!$A:$A,"&lt;="&amp;assumptions!$C$2)</f>
        <v>0</v>
      </c>
      <c r="AN36" s="57">
        <f ca="1">-SUMIFS(logs!$R:$R,logs!$M:$M,'p&amp;l'!$AG36&amp;'p&amp;l'!AN$34,logs!$A:$A,"&lt;="&amp;assumptions!$C$2)</f>
        <v>-15.169932416006224</v>
      </c>
      <c r="AO36" s="57">
        <f ca="1">-SUMIFS(logs!$R:$R,logs!$M:$M,'p&amp;l'!$AG36&amp;'p&amp;l'!AO$34,logs!$A:$A,"&lt;="&amp;assumptions!$C$2)</f>
        <v>0</v>
      </c>
      <c r="AP36" s="57">
        <f ca="1">-SUMIFS(logs!$R:$R,logs!$M:$M,'p&amp;l'!$AG36&amp;'p&amp;l'!AP$34,logs!$A:$A,"&lt;="&amp;assumptions!$C$2)</f>
        <v>0</v>
      </c>
      <c r="AQ36" s="57">
        <f ca="1">-SUMIFS(logs!$R:$R,logs!$M:$M,'p&amp;l'!$AG36&amp;'p&amp;l'!AQ$34,logs!$A:$A,"&lt;="&amp;assumptions!$C$2)</f>
        <v>0</v>
      </c>
      <c r="AR36" s="57">
        <f ca="1">-SUMIFS(logs!$R:$R,logs!$M:$M,'p&amp;l'!$AG36&amp;'p&amp;l'!AR$34,logs!$A:$A,"&lt;="&amp;assumptions!$C$2)</f>
        <v>0</v>
      </c>
      <c r="AS36" s="57">
        <f ca="1">-SUMIFS(logs!$R:$R,logs!$M:$M,'p&amp;l'!$AG36&amp;'p&amp;l'!AS$34,logs!$A:$A,"&lt;="&amp;assumptions!$C$2)</f>
        <v>0</v>
      </c>
      <c r="AT36" s="57">
        <f ca="1">-SUMIFS(logs!$R:$R,logs!$M:$M,'p&amp;l'!$AG36&amp;'p&amp;l'!AT$34,logs!$A:$A,"&lt;="&amp;assumptions!$C$2)</f>
        <v>0</v>
      </c>
      <c r="AU36" s="58">
        <f t="shared" ref="AU36:AU61" ca="1" si="8">SUM(AH36:AT36)</f>
        <v>-41.717314144017116</v>
      </c>
    </row>
    <row r="37" spans="1:47" x14ac:dyDescent="0.35">
      <c r="A37" s="44" t="s">
        <v>22</v>
      </c>
      <c r="B37" s="57">
        <f ca="1">SUMIF(logs!$M:$M,'p&amp;l'!$A37&amp;'p&amp;l'!B$34,logs!$W:$W)+AH37</f>
        <v>0</v>
      </c>
      <c r="C37" s="57">
        <f ca="1">SUMIF(logs!$M:$M,'p&amp;l'!$A37&amp;'p&amp;l'!C$34,logs!$W:$W)+AI37</f>
        <v>0</v>
      </c>
      <c r="D37" s="57">
        <f ca="1">SUMIF(logs!$M:$M,'p&amp;l'!$A37&amp;'p&amp;l'!D$34,logs!$W:$W)+AJ37</f>
        <v>-84597.01320749287</v>
      </c>
      <c r="E37" s="57">
        <f ca="1">SUMIF(logs!$M:$M,'p&amp;l'!$A37&amp;'p&amp;l'!E$34,logs!$W:$W)+AK37</f>
        <v>0</v>
      </c>
      <c r="F37" s="57">
        <f ca="1">SUMIF(logs!$M:$M,'p&amp;l'!$A37&amp;'p&amp;l'!F$34,logs!$W:$W)+AL37</f>
        <v>0</v>
      </c>
      <c r="G37" s="57">
        <f ca="1">SUMIF(logs!$M:$M,'p&amp;l'!$A37&amp;'p&amp;l'!G$34,logs!$W:$W)+AM37</f>
        <v>0</v>
      </c>
      <c r="H37" s="57">
        <f ca="1">SUMIF(logs!$M:$M,'p&amp;l'!$A37&amp;'p&amp;l'!H$34,logs!$W:$W)+AN37</f>
        <v>-72943.343020746281</v>
      </c>
      <c r="I37" s="57">
        <f ca="1">SUMIF(logs!$M:$M,'p&amp;l'!$A37&amp;'p&amp;l'!I$34,logs!$W:$W)+AO37</f>
        <v>0</v>
      </c>
      <c r="J37" s="57">
        <f ca="1">SUMIF(logs!$M:$M,'p&amp;l'!$A37&amp;'p&amp;l'!J$34,logs!$W:$W)+AP37</f>
        <v>0</v>
      </c>
      <c r="K37" s="57">
        <f ca="1">SUMIF(logs!$M:$M,'p&amp;l'!$A37&amp;'p&amp;l'!K$34,logs!$W:$W)+AQ37</f>
        <v>0</v>
      </c>
      <c r="L37" s="57">
        <f ca="1">SUMIF(logs!$M:$M,'p&amp;l'!$A37&amp;'p&amp;l'!L$34,logs!$W:$W)+AR37</f>
        <v>0</v>
      </c>
      <c r="M37" s="57">
        <f ca="1">SUMIF(logs!$M:$M,'p&amp;l'!$A37&amp;'p&amp;l'!M$34,logs!$W:$W)+AS37</f>
        <v>0</v>
      </c>
      <c r="N37" s="57">
        <f ca="1">SUMIF(logs!$M:$M,'p&amp;l'!$A37&amp;'p&amp;l'!N$34,logs!$W:$W)+AT37</f>
        <v>0</v>
      </c>
      <c r="O37" s="58">
        <f t="shared" ca="1" si="6"/>
        <v>-157540.35622823914</v>
      </c>
      <c r="Q37" s="44" t="s">
        <v>22</v>
      </c>
      <c r="R37" s="57">
        <f ca="1">B37-SUMIF(logs!$M:$M,'p&amp;l'!$Q37&amp;'p&amp;l'!R$34,logs!$X:$X)</f>
        <v>0</v>
      </c>
      <c r="S37" s="57">
        <f ca="1">C37-SUMIF(logs!$M:$M,'p&amp;l'!$Q37&amp;'p&amp;l'!S$34,logs!$X:$X)</f>
        <v>0</v>
      </c>
      <c r="T37" s="57">
        <f ca="1">D37-SUMIF(logs!$M:$M,'p&amp;l'!$Q37&amp;'p&amp;l'!T$34,logs!$X:$X)</f>
        <v>-30644.836416999853</v>
      </c>
      <c r="U37" s="57">
        <f ca="1">E37-SUMIF(logs!$M:$M,'p&amp;l'!$Q37&amp;'p&amp;l'!U$34,logs!$X:$X)</f>
        <v>0</v>
      </c>
      <c r="V37" s="57">
        <f ca="1">F37-SUMIF(logs!$M:$M,'p&amp;l'!$Q37&amp;'p&amp;l'!V$34,logs!$X:$X)</f>
        <v>0</v>
      </c>
      <c r="W37" s="57">
        <f ca="1">G37-SUMIF(logs!$M:$M,'p&amp;l'!$Q37&amp;'p&amp;l'!W$34,logs!$X:$X)</f>
        <v>0</v>
      </c>
      <c r="X37" s="57">
        <f ca="1">H37-SUMIF(logs!$M:$M,'p&amp;l'!$Q37&amp;'p&amp;l'!X$34,logs!$X:$X)</f>
        <v>-130995.88524731666</v>
      </c>
      <c r="Y37" s="57">
        <f ca="1">I37-SUMIF(logs!$M:$M,'p&amp;l'!$Q37&amp;'p&amp;l'!Y$34,logs!$X:$X)</f>
        <v>0</v>
      </c>
      <c r="Z37" s="57">
        <f ca="1">J37-SUMIF(logs!$M:$M,'p&amp;l'!$Q37&amp;'p&amp;l'!Z$34,logs!$X:$X)</f>
        <v>0</v>
      </c>
      <c r="AA37" s="57">
        <f ca="1">K37-SUMIF(logs!$M:$M,'p&amp;l'!$Q37&amp;'p&amp;l'!AA$34,logs!$X:$X)</f>
        <v>0</v>
      </c>
      <c r="AB37" s="57">
        <f ca="1">L37-SUMIF(logs!$M:$M,'p&amp;l'!$Q37&amp;'p&amp;l'!AB$34,logs!$X:$X)</f>
        <v>0</v>
      </c>
      <c r="AC37" s="57">
        <f ca="1">M37-SUMIF(logs!$M:$M,'p&amp;l'!$Q37&amp;'p&amp;l'!AC$34,logs!$X:$X)</f>
        <v>0</v>
      </c>
      <c r="AD37" s="57">
        <f ca="1">N37-SUMIF(logs!$M:$M,'p&amp;l'!$Q37&amp;'p&amp;l'!AD$34,logs!$X:$X)</f>
        <v>0</v>
      </c>
      <c r="AE37" s="58">
        <f t="shared" ca="1" si="7"/>
        <v>-161640.72166431652</v>
      </c>
      <c r="AG37" s="44" t="s">
        <v>22</v>
      </c>
      <c r="AH37" s="57">
        <f ca="1">-SUMIFS(logs!$R:$R,logs!$M:$M,'p&amp;l'!$AG37&amp;'p&amp;l'!AH$34,logs!$A:$A,"&lt;="&amp;assumptions!$C$2)</f>
        <v>0</v>
      </c>
      <c r="AI37" s="57">
        <f ca="1">-SUMIFS(logs!$R:$R,logs!$M:$M,'p&amp;l'!$AG37&amp;'p&amp;l'!AI$34,logs!$A:$A,"&lt;="&amp;assumptions!$C$2)</f>
        <v>0</v>
      </c>
      <c r="AJ37" s="57">
        <f ca="1">-SUMIFS(logs!$R:$R,logs!$M:$M,'p&amp;l'!$AG37&amp;'p&amp;l'!AJ$34,logs!$A:$A,"&lt;="&amp;assumptions!$C$2)</f>
        <v>0</v>
      </c>
      <c r="AK37" s="57">
        <f ca="1">-SUMIFS(logs!$R:$R,logs!$M:$M,'p&amp;l'!$AG37&amp;'p&amp;l'!AK$34,logs!$A:$A,"&lt;="&amp;assumptions!$C$2)</f>
        <v>0</v>
      </c>
      <c r="AL37" s="57">
        <f ca="1">-SUMIFS(logs!$R:$R,logs!$M:$M,'p&amp;l'!$AG37&amp;'p&amp;l'!AL$34,logs!$A:$A,"&lt;="&amp;assumptions!$C$2)</f>
        <v>0</v>
      </c>
      <c r="AM37" s="57">
        <f ca="1">-SUMIFS(logs!$R:$R,logs!$M:$M,'p&amp;l'!$AG37&amp;'p&amp;l'!AM$34,logs!$A:$A,"&lt;="&amp;assumptions!$C$2)</f>
        <v>0</v>
      </c>
      <c r="AN37" s="57">
        <f ca="1">-SUMIFS(logs!$R:$R,logs!$M:$M,'p&amp;l'!$AG37&amp;'p&amp;l'!AN$34,logs!$A:$A,"&lt;="&amp;assumptions!$C$2)</f>
        <v>0</v>
      </c>
      <c r="AO37" s="57">
        <f ca="1">-SUMIFS(logs!$R:$R,logs!$M:$M,'p&amp;l'!$AG37&amp;'p&amp;l'!AO$34,logs!$A:$A,"&lt;="&amp;assumptions!$C$2)</f>
        <v>0</v>
      </c>
      <c r="AP37" s="57">
        <f ca="1">-SUMIFS(logs!$R:$R,logs!$M:$M,'p&amp;l'!$AG37&amp;'p&amp;l'!AP$34,logs!$A:$A,"&lt;="&amp;assumptions!$C$2)</f>
        <v>0</v>
      </c>
      <c r="AQ37" s="57">
        <f ca="1">-SUMIFS(logs!$R:$R,logs!$M:$M,'p&amp;l'!$AG37&amp;'p&amp;l'!AQ$34,logs!$A:$A,"&lt;="&amp;assumptions!$C$2)</f>
        <v>0</v>
      </c>
      <c r="AR37" s="57">
        <f ca="1">-SUMIFS(logs!$R:$R,logs!$M:$M,'p&amp;l'!$AG37&amp;'p&amp;l'!AR$34,logs!$A:$A,"&lt;="&amp;assumptions!$C$2)</f>
        <v>0</v>
      </c>
      <c r="AS37" s="57">
        <f ca="1">-SUMIFS(logs!$R:$R,logs!$M:$M,'p&amp;l'!$AG37&amp;'p&amp;l'!AS$34,logs!$A:$A,"&lt;="&amp;assumptions!$C$2)</f>
        <v>0</v>
      </c>
      <c r="AT37" s="57">
        <f ca="1">-SUMIFS(logs!$R:$R,logs!$M:$M,'p&amp;l'!$AG37&amp;'p&amp;l'!AT$34,logs!$A:$A,"&lt;="&amp;assumptions!$C$2)</f>
        <v>0</v>
      </c>
      <c r="AU37" s="58">
        <f t="shared" ca="1" si="8"/>
        <v>0</v>
      </c>
    </row>
    <row r="38" spans="1:47" x14ac:dyDescent="0.35">
      <c r="A38" s="44" t="s">
        <v>139</v>
      </c>
      <c r="B38" s="57">
        <f ca="1">SUMIF(logs!$M:$M,'p&amp;l'!$A38&amp;'p&amp;l'!B$34,logs!$W:$W)+AH38</f>
        <v>0</v>
      </c>
      <c r="C38" s="57">
        <f ca="1">SUMIF(logs!$M:$M,'p&amp;l'!$A38&amp;'p&amp;l'!C$34,logs!$W:$W)+AI38</f>
        <v>0</v>
      </c>
      <c r="D38" s="57">
        <f ca="1">SUMIF(logs!$M:$M,'p&amp;l'!$A38&amp;'p&amp;l'!D$34,logs!$W:$W)+AJ38</f>
        <v>0</v>
      </c>
      <c r="E38" s="57">
        <f ca="1">SUMIF(logs!$M:$M,'p&amp;l'!$A38&amp;'p&amp;l'!E$34,logs!$W:$W)+AK38</f>
        <v>0</v>
      </c>
      <c r="F38" s="57">
        <f ca="1">SUMIF(logs!$M:$M,'p&amp;l'!$A38&amp;'p&amp;l'!F$34,logs!$W:$W)+AL38</f>
        <v>0</v>
      </c>
      <c r="G38" s="57">
        <f ca="1">SUMIF(logs!$M:$M,'p&amp;l'!$A38&amp;'p&amp;l'!G$34,logs!$W:$W)+AM38</f>
        <v>0</v>
      </c>
      <c r="H38" s="57">
        <f ca="1">SUMIF(logs!$M:$M,'p&amp;l'!$A38&amp;'p&amp;l'!H$34,logs!$W:$W)+AN38</f>
        <v>0</v>
      </c>
      <c r="I38" s="57">
        <f ca="1">SUMIF(logs!$M:$M,'p&amp;l'!$A38&amp;'p&amp;l'!I$34,logs!$W:$W)+AO38</f>
        <v>0</v>
      </c>
      <c r="J38" s="57">
        <f ca="1">SUMIF(logs!$M:$M,'p&amp;l'!$A38&amp;'p&amp;l'!J$34,logs!$W:$W)+AP38</f>
        <v>0</v>
      </c>
      <c r="K38" s="57">
        <f ca="1">SUMIF(logs!$M:$M,'p&amp;l'!$A38&amp;'p&amp;l'!K$34,logs!$W:$W)+AQ38</f>
        <v>0</v>
      </c>
      <c r="L38" s="57">
        <f ca="1">SUMIF(logs!$M:$M,'p&amp;l'!$A38&amp;'p&amp;l'!L$34,logs!$W:$W)+AR38</f>
        <v>0</v>
      </c>
      <c r="M38" s="57">
        <f ca="1">SUMIF(logs!$M:$M,'p&amp;l'!$A38&amp;'p&amp;l'!M$34,logs!$W:$W)+AS38</f>
        <v>0</v>
      </c>
      <c r="N38" s="57">
        <f ca="1">SUMIF(logs!$M:$M,'p&amp;l'!$A38&amp;'p&amp;l'!N$34,logs!$W:$W)+AT38</f>
        <v>0</v>
      </c>
      <c r="O38" s="58">
        <f t="shared" ca="1" si="6"/>
        <v>0</v>
      </c>
      <c r="Q38" s="44" t="s">
        <v>139</v>
      </c>
      <c r="R38" s="57">
        <f ca="1">B38-SUMIF(logs!$M:$M,'p&amp;l'!$Q38&amp;'p&amp;l'!R$34,logs!$X:$X)</f>
        <v>0</v>
      </c>
      <c r="S38" s="57">
        <f ca="1">C38-SUMIF(logs!$M:$M,'p&amp;l'!$Q38&amp;'p&amp;l'!S$34,logs!$X:$X)</f>
        <v>0</v>
      </c>
      <c r="T38" s="57">
        <f ca="1">D38-SUMIF(logs!$M:$M,'p&amp;l'!$Q38&amp;'p&amp;l'!T$34,logs!$X:$X)</f>
        <v>0</v>
      </c>
      <c r="U38" s="57">
        <f ca="1">E38-SUMIF(logs!$M:$M,'p&amp;l'!$Q38&amp;'p&amp;l'!U$34,logs!$X:$X)</f>
        <v>0</v>
      </c>
      <c r="V38" s="57">
        <f ca="1">F38-SUMIF(logs!$M:$M,'p&amp;l'!$Q38&amp;'p&amp;l'!V$34,logs!$X:$X)</f>
        <v>0</v>
      </c>
      <c r="W38" s="57">
        <f ca="1">G38-SUMIF(logs!$M:$M,'p&amp;l'!$Q38&amp;'p&amp;l'!W$34,logs!$X:$X)</f>
        <v>0</v>
      </c>
      <c r="X38" s="57">
        <f ca="1">H38-SUMIF(logs!$M:$M,'p&amp;l'!$Q38&amp;'p&amp;l'!X$34,logs!$X:$X)</f>
        <v>0</v>
      </c>
      <c r="Y38" s="57">
        <f ca="1">I38-SUMIF(logs!$M:$M,'p&amp;l'!$Q38&amp;'p&amp;l'!Y$34,logs!$X:$X)</f>
        <v>0</v>
      </c>
      <c r="Z38" s="57">
        <f ca="1">J38-SUMIF(logs!$M:$M,'p&amp;l'!$Q38&amp;'p&amp;l'!Z$34,logs!$X:$X)</f>
        <v>0</v>
      </c>
      <c r="AA38" s="57">
        <f ca="1">K38-SUMIF(logs!$M:$M,'p&amp;l'!$Q38&amp;'p&amp;l'!AA$34,logs!$X:$X)</f>
        <v>0</v>
      </c>
      <c r="AB38" s="57">
        <f ca="1">L38-SUMIF(logs!$M:$M,'p&amp;l'!$Q38&amp;'p&amp;l'!AB$34,logs!$X:$X)</f>
        <v>0</v>
      </c>
      <c r="AC38" s="57">
        <f ca="1">M38-SUMIF(logs!$M:$M,'p&amp;l'!$Q38&amp;'p&amp;l'!AC$34,logs!$X:$X)</f>
        <v>0</v>
      </c>
      <c r="AD38" s="57">
        <f ca="1">N38-SUMIF(logs!$M:$M,'p&amp;l'!$Q38&amp;'p&amp;l'!AD$34,logs!$X:$X)</f>
        <v>0</v>
      </c>
      <c r="AE38" s="58">
        <f t="shared" ca="1" si="7"/>
        <v>0</v>
      </c>
      <c r="AG38" s="44" t="s">
        <v>139</v>
      </c>
      <c r="AH38" s="57">
        <f ca="1">-SUMIFS(logs!$R:$R,logs!$M:$M,'p&amp;l'!$AG38&amp;'p&amp;l'!AH$34,logs!$A:$A,"&lt;="&amp;assumptions!$C$2)</f>
        <v>0</v>
      </c>
      <c r="AI38" s="57">
        <f ca="1">-SUMIFS(logs!$R:$R,logs!$M:$M,'p&amp;l'!$AG38&amp;'p&amp;l'!AI$34,logs!$A:$A,"&lt;="&amp;assumptions!$C$2)</f>
        <v>0</v>
      </c>
      <c r="AJ38" s="57">
        <f ca="1">-SUMIFS(logs!$R:$R,logs!$M:$M,'p&amp;l'!$AG38&amp;'p&amp;l'!AJ$34,logs!$A:$A,"&lt;="&amp;assumptions!$C$2)</f>
        <v>0</v>
      </c>
      <c r="AK38" s="57">
        <f ca="1">-SUMIFS(logs!$R:$R,logs!$M:$M,'p&amp;l'!$AG38&amp;'p&amp;l'!AK$34,logs!$A:$A,"&lt;="&amp;assumptions!$C$2)</f>
        <v>0</v>
      </c>
      <c r="AL38" s="57">
        <f ca="1">-SUMIFS(logs!$R:$R,logs!$M:$M,'p&amp;l'!$AG38&amp;'p&amp;l'!AL$34,logs!$A:$A,"&lt;="&amp;assumptions!$C$2)</f>
        <v>0</v>
      </c>
      <c r="AM38" s="57">
        <f ca="1">-SUMIFS(logs!$R:$R,logs!$M:$M,'p&amp;l'!$AG38&amp;'p&amp;l'!AM$34,logs!$A:$A,"&lt;="&amp;assumptions!$C$2)</f>
        <v>0</v>
      </c>
      <c r="AN38" s="57">
        <f ca="1">-SUMIFS(logs!$R:$R,logs!$M:$M,'p&amp;l'!$AG38&amp;'p&amp;l'!AN$34,logs!$A:$A,"&lt;="&amp;assumptions!$C$2)</f>
        <v>0</v>
      </c>
      <c r="AO38" s="57">
        <f ca="1">-SUMIFS(logs!$R:$R,logs!$M:$M,'p&amp;l'!$AG38&amp;'p&amp;l'!AO$34,logs!$A:$A,"&lt;="&amp;assumptions!$C$2)</f>
        <v>0</v>
      </c>
      <c r="AP38" s="57">
        <f ca="1">-SUMIFS(logs!$R:$R,logs!$M:$M,'p&amp;l'!$AG38&amp;'p&amp;l'!AP$34,logs!$A:$A,"&lt;="&amp;assumptions!$C$2)</f>
        <v>0</v>
      </c>
      <c r="AQ38" s="57">
        <f ca="1">-SUMIFS(logs!$R:$R,logs!$M:$M,'p&amp;l'!$AG38&amp;'p&amp;l'!AQ$34,logs!$A:$A,"&lt;="&amp;assumptions!$C$2)</f>
        <v>0</v>
      </c>
      <c r="AR38" s="57">
        <f ca="1">-SUMIFS(logs!$R:$R,logs!$M:$M,'p&amp;l'!$AG38&amp;'p&amp;l'!AR$34,logs!$A:$A,"&lt;="&amp;assumptions!$C$2)</f>
        <v>0</v>
      </c>
      <c r="AS38" s="57">
        <f ca="1">-SUMIFS(logs!$R:$R,logs!$M:$M,'p&amp;l'!$AG38&amp;'p&amp;l'!AS$34,logs!$A:$A,"&lt;="&amp;assumptions!$C$2)</f>
        <v>0</v>
      </c>
      <c r="AT38" s="57">
        <f ca="1">-SUMIFS(logs!$R:$R,logs!$M:$M,'p&amp;l'!$AG38&amp;'p&amp;l'!AT$34,logs!$A:$A,"&lt;="&amp;assumptions!$C$2)</f>
        <v>0</v>
      </c>
      <c r="AU38" s="58">
        <f t="shared" ca="1" si="8"/>
        <v>0</v>
      </c>
    </row>
    <row r="39" spans="1:47" x14ac:dyDescent="0.35">
      <c r="A39" s="44" t="s">
        <v>27</v>
      </c>
      <c r="B39" s="57">
        <f ca="1">SUMIF(logs!$M:$M,'p&amp;l'!$A39&amp;'p&amp;l'!B$34,logs!$W:$W)+AH39</f>
        <v>0</v>
      </c>
      <c r="C39" s="57">
        <f ca="1">SUMIF(logs!$M:$M,'p&amp;l'!$A39&amp;'p&amp;l'!C$34,logs!$W:$W)+AI39</f>
        <v>0</v>
      </c>
      <c r="D39" s="57">
        <f ca="1">SUMIF(logs!$M:$M,'p&amp;l'!$A39&amp;'p&amp;l'!D$34,logs!$W:$W)+AJ39</f>
        <v>3140.530519461739</v>
      </c>
      <c r="E39" s="57">
        <f ca="1">SUMIF(logs!$M:$M,'p&amp;l'!$A39&amp;'p&amp;l'!E$34,logs!$W:$W)+AK39</f>
        <v>0</v>
      </c>
      <c r="F39" s="57">
        <f ca="1">SUMIF(logs!$M:$M,'p&amp;l'!$A39&amp;'p&amp;l'!F$34,logs!$W:$W)+AL39</f>
        <v>0</v>
      </c>
      <c r="G39" s="57">
        <f ca="1">SUMIF(logs!$M:$M,'p&amp;l'!$A39&amp;'p&amp;l'!G$34,logs!$W:$W)+AM39</f>
        <v>0</v>
      </c>
      <c r="H39" s="57">
        <f ca="1">SUMIF(logs!$M:$M,'p&amp;l'!$A39&amp;'p&amp;l'!H$34,logs!$W:$W)+AN39</f>
        <v>0</v>
      </c>
      <c r="I39" s="57">
        <f ca="1">SUMIF(logs!$M:$M,'p&amp;l'!$A39&amp;'p&amp;l'!I$34,logs!$W:$W)+AO39</f>
        <v>0</v>
      </c>
      <c r="J39" s="57">
        <f ca="1">SUMIF(logs!$M:$M,'p&amp;l'!$A39&amp;'p&amp;l'!J$34,logs!$W:$W)+AP39</f>
        <v>0</v>
      </c>
      <c r="K39" s="57">
        <f ca="1">SUMIF(logs!$M:$M,'p&amp;l'!$A39&amp;'p&amp;l'!K$34,logs!$W:$W)+AQ39</f>
        <v>0</v>
      </c>
      <c r="L39" s="57">
        <f ca="1">SUMIF(logs!$M:$M,'p&amp;l'!$A39&amp;'p&amp;l'!L$34,logs!$W:$W)+AR39</f>
        <v>0</v>
      </c>
      <c r="M39" s="57">
        <f ca="1">SUMIF(logs!$M:$M,'p&amp;l'!$A39&amp;'p&amp;l'!M$34,logs!$W:$W)+AS39</f>
        <v>0</v>
      </c>
      <c r="N39" s="57">
        <f ca="1">SUMIF(logs!$M:$M,'p&amp;l'!$A39&amp;'p&amp;l'!N$34,logs!$W:$W)+AT39</f>
        <v>0</v>
      </c>
      <c r="O39" s="58">
        <f t="shared" ca="1" si="6"/>
        <v>3140.530519461739</v>
      </c>
      <c r="Q39" s="44" t="s">
        <v>27</v>
      </c>
      <c r="R39" s="57">
        <f ca="1">B39-SUMIF(logs!$M:$M,'p&amp;l'!$Q39&amp;'p&amp;l'!R$34,logs!$X:$X)</f>
        <v>0</v>
      </c>
      <c r="S39" s="57">
        <f ca="1">C39-SUMIF(logs!$M:$M,'p&amp;l'!$Q39&amp;'p&amp;l'!S$34,logs!$X:$X)</f>
        <v>0</v>
      </c>
      <c r="T39" s="57">
        <f ca="1">D39-SUMIF(logs!$M:$M,'p&amp;l'!$Q39&amp;'p&amp;l'!T$34,logs!$X:$X)</f>
        <v>37669.923665377231</v>
      </c>
      <c r="U39" s="57">
        <f ca="1">E39-SUMIF(logs!$M:$M,'p&amp;l'!$Q39&amp;'p&amp;l'!U$34,logs!$X:$X)</f>
        <v>0</v>
      </c>
      <c r="V39" s="57">
        <f ca="1">F39-SUMIF(logs!$M:$M,'p&amp;l'!$Q39&amp;'p&amp;l'!V$34,logs!$X:$X)</f>
        <v>0</v>
      </c>
      <c r="W39" s="57">
        <f ca="1">G39-SUMIF(logs!$M:$M,'p&amp;l'!$Q39&amp;'p&amp;l'!W$34,logs!$X:$X)</f>
        <v>0</v>
      </c>
      <c r="X39" s="57">
        <f ca="1">H39-SUMIF(logs!$M:$M,'p&amp;l'!$Q39&amp;'p&amp;l'!X$34,logs!$X:$X)</f>
        <v>0</v>
      </c>
      <c r="Y39" s="57">
        <f ca="1">I39-SUMIF(logs!$M:$M,'p&amp;l'!$Q39&amp;'p&amp;l'!Y$34,logs!$X:$X)</f>
        <v>0</v>
      </c>
      <c r="Z39" s="57">
        <f ca="1">J39-SUMIF(logs!$M:$M,'p&amp;l'!$Q39&amp;'p&amp;l'!Z$34,logs!$X:$X)</f>
        <v>0</v>
      </c>
      <c r="AA39" s="57">
        <f ca="1">K39-SUMIF(logs!$M:$M,'p&amp;l'!$Q39&amp;'p&amp;l'!AA$34,logs!$X:$X)</f>
        <v>0</v>
      </c>
      <c r="AB39" s="57">
        <f ca="1">L39-SUMIF(logs!$M:$M,'p&amp;l'!$Q39&amp;'p&amp;l'!AB$34,logs!$X:$X)</f>
        <v>0</v>
      </c>
      <c r="AC39" s="57">
        <f ca="1">M39-SUMIF(logs!$M:$M,'p&amp;l'!$Q39&amp;'p&amp;l'!AC$34,logs!$X:$X)</f>
        <v>0</v>
      </c>
      <c r="AD39" s="57">
        <f ca="1">N39-SUMIF(logs!$M:$M,'p&amp;l'!$Q39&amp;'p&amp;l'!AD$34,logs!$X:$X)</f>
        <v>0</v>
      </c>
      <c r="AE39" s="58">
        <f t="shared" ca="1" si="7"/>
        <v>37669.923665377231</v>
      </c>
      <c r="AG39" s="44" t="s">
        <v>27</v>
      </c>
      <c r="AH39" s="57">
        <f ca="1">-SUMIFS(logs!$R:$R,logs!$M:$M,'p&amp;l'!$AG39&amp;'p&amp;l'!AH$34,logs!$A:$A,"&lt;="&amp;assumptions!$C$2)</f>
        <v>0</v>
      </c>
      <c r="AI39" s="57">
        <f ca="1">-SUMIFS(logs!$R:$R,logs!$M:$M,'p&amp;l'!$AG39&amp;'p&amp;l'!AI$34,logs!$A:$A,"&lt;="&amp;assumptions!$C$2)</f>
        <v>0</v>
      </c>
      <c r="AJ39" s="57">
        <f ca="1">-SUMIFS(logs!$R:$R,logs!$M:$M,'p&amp;l'!$AG39&amp;'p&amp;l'!AJ$34,logs!$A:$A,"&lt;="&amp;assumptions!$C$2)</f>
        <v>-24.66385224708247</v>
      </c>
      <c r="AK39" s="57">
        <f ca="1">-SUMIFS(logs!$R:$R,logs!$M:$M,'p&amp;l'!$AG39&amp;'p&amp;l'!AK$34,logs!$A:$A,"&lt;="&amp;assumptions!$C$2)</f>
        <v>0</v>
      </c>
      <c r="AL39" s="57">
        <f ca="1">-SUMIFS(logs!$R:$R,logs!$M:$M,'p&amp;l'!$AG39&amp;'p&amp;l'!AL$34,logs!$A:$A,"&lt;="&amp;assumptions!$C$2)</f>
        <v>0</v>
      </c>
      <c r="AM39" s="57">
        <f ca="1">-SUMIFS(logs!$R:$R,logs!$M:$M,'p&amp;l'!$AG39&amp;'p&amp;l'!AM$34,logs!$A:$A,"&lt;="&amp;assumptions!$C$2)</f>
        <v>0</v>
      </c>
      <c r="AN39" s="57">
        <f ca="1">-SUMIFS(logs!$R:$R,logs!$M:$M,'p&amp;l'!$AG39&amp;'p&amp;l'!AN$34,logs!$A:$A,"&lt;="&amp;assumptions!$C$2)</f>
        <v>0</v>
      </c>
      <c r="AO39" s="57">
        <f ca="1">-SUMIFS(logs!$R:$R,logs!$M:$M,'p&amp;l'!$AG39&amp;'p&amp;l'!AO$34,logs!$A:$A,"&lt;="&amp;assumptions!$C$2)</f>
        <v>0</v>
      </c>
      <c r="AP39" s="57">
        <f ca="1">-SUMIFS(logs!$R:$R,logs!$M:$M,'p&amp;l'!$AG39&amp;'p&amp;l'!AP$34,logs!$A:$A,"&lt;="&amp;assumptions!$C$2)</f>
        <v>0</v>
      </c>
      <c r="AQ39" s="57">
        <f ca="1">-SUMIFS(logs!$R:$R,logs!$M:$M,'p&amp;l'!$AG39&amp;'p&amp;l'!AQ$34,logs!$A:$A,"&lt;="&amp;assumptions!$C$2)</f>
        <v>0</v>
      </c>
      <c r="AR39" s="57">
        <f ca="1">-SUMIFS(logs!$R:$R,logs!$M:$M,'p&amp;l'!$AG39&amp;'p&amp;l'!AR$34,logs!$A:$A,"&lt;="&amp;assumptions!$C$2)</f>
        <v>0</v>
      </c>
      <c r="AS39" s="57">
        <f ca="1">-SUMIFS(logs!$R:$R,logs!$M:$M,'p&amp;l'!$AG39&amp;'p&amp;l'!AS$34,logs!$A:$A,"&lt;="&amp;assumptions!$C$2)</f>
        <v>0</v>
      </c>
      <c r="AT39" s="57">
        <f ca="1">-SUMIFS(logs!$R:$R,logs!$M:$M,'p&amp;l'!$AG39&amp;'p&amp;l'!AT$34,logs!$A:$A,"&lt;="&amp;assumptions!$C$2)</f>
        <v>0</v>
      </c>
      <c r="AU39" s="58">
        <f t="shared" ca="1" si="8"/>
        <v>-24.66385224708247</v>
      </c>
    </row>
    <row r="40" spans="1:47" x14ac:dyDescent="0.35">
      <c r="A40" s="44" t="s">
        <v>135</v>
      </c>
      <c r="B40" s="57">
        <f ca="1">SUMIF(logs!$M:$M,'p&amp;l'!$A40&amp;'p&amp;l'!B$34,logs!$W:$W)+AH40</f>
        <v>0</v>
      </c>
      <c r="C40" s="57">
        <f ca="1">SUMIF(logs!$M:$M,'p&amp;l'!$A40&amp;'p&amp;l'!C$34,logs!$W:$W)+AI40</f>
        <v>0</v>
      </c>
      <c r="D40" s="57">
        <f ca="1">SUMIF(logs!$M:$M,'p&amp;l'!$A40&amp;'p&amp;l'!D$34,logs!$W:$W)+AJ40</f>
        <v>0</v>
      </c>
      <c r="E40" s="57">
        <f ca="1">SUMIF(logs!$M:$M,'p&amp;l'!$A40&amp;'p&amp;l'!E$34,logs!$W:$W)+AK40</f>
        <v>0</v>
      </c>
      <c r="F40" s="57">
        <f ca="1">SUMIF(logs!$M:$M,'p&amp;l'!$A40&amp;'p&amp;l'!F$34,logs!$W:$W)+AL40</f>
        <v>0</v>
      </c>
      <c r="G40" s="57">
        <f ca="1">SUMIF(logs!$M:$M,'p&amp;l'!$A40&amp;'p&amp;l'!G$34,logs!$W:$W)+AM40</f>
        <v>0</v>
      </c>
      <c r="H40" s="57">
        <f ca="1">SUMIF(logs!$M:$M,'p&amp;l'!$A40&amp;'p&amp;l'!H$34,logs!$W:$W)+AN40</f>
        <v>0</v>
      </c>
      <c r="I40" s="57">
        <f ca="1">SUMIF(logs!$M:$M,'p&amp;l'!$A40&amp;'p&amp;l'!I$34,logs!$W:$W)+AO40</f>
        <v>0</v>
      </c>
      <c r="J40" s="57">
        <f ca="1">SUMIF(logs!$M:$M,'p&amp;l'!$A40&amp;'p&amp;l'!J$34,logs!$W:$W)+AP40</f>
        <v>0</v>
      </c>
      <c r="K40" s="57">
        <f ca="1">SUMIF(logs!$M:$M,'p&amp;l'!$A40&amp;'p&amp;l'!K$34,logs!$W:$W)+AQ40</f>
        <v>0</v>
      </c>
      <c r="L40" s="57">
        <f ca="1">SUMIF(logs!$M:$M,'p&amp;l'!$A40&amp;'p&amp;l'!L$34,logs!$W:$W)+AR40</f>
        <v>0</v>
      </c>
      <c r="M40" s="57">
        <f ca="1">SUMIF(logs!$M:$M,'p&amp;l'!$A40&amp;'p&amp;l'!M$34,logs!$W:$W)+AS40</f>
        <v>0</v>
      </c>
      <c r="N40" s="57">
        <f ca="1">SUMIF(logs!$M:$M,'p&amp;l'!$A40&amp;'p&amp;l'!N$34,logs!$W:$W)+AT40</f>
        <v>0</v>
      </c>
      <c r="O40" s="58">
        <f t="shared" ca="1" si="6"/>
        <v>0</v>
      </c>
      <c r="Q40" s="44" t="s">
        <v>135</v>
      </c>
      <c r="R40" s="57">
        <f ca="1">B40-SUMIF(logs!$M:$M,'p&amp;l'!$Q40&amp;'p&amp;l'!R$34,logs!$X:$X)</f>
        <v>0</v>
      </c>
      <c r="S40" s="57">
        <f ca="1">C40-SUMIF(logs!$M:$M,'p&amp;l'!$Q40&amp;'p&amp;l'!S$34,logs!$X:$X)</f>
        <v>0</v>
      </c>
      <c r="T40" s="57">
        <f ca="1">D40-SUMIF(logs!$M:$M,'p&amp;l'!$Q40&amp;'p&amp;l'!T$34,logs!$X:$X)</f>
        <v>0</v>
      </c>
      <c r="U40" s="57">
        <f ca="1">E40-SUMIF(logs!$M:$M,'p&amp;l'!$Q40&amp;'p&amp;l'!U$34,logs!$X:$X)</f>
        <v>0</v>
      </c>
      <c r="V40" s="57">
        <f ca="1">F40-SUMIF(logs!$M:$M,'p&amp;l'!$Q40&amp;'p&amp;l'!V$34,logs!$X:$X)</f>
        <v>0</v>
      </c>
      <c r="W40" s="57">
        <f ca="1">G40-SUMIF(logs!$M:$M,'p&amp;l'!$Q40&amp;'p&amp;l'!W$34,logs!$X:$X)</f>
        <v>0</v>
      </c>
      <c r="X40" s="57">
        <f ca="1">H40-SUMIF(logs!$M:$M,'p&amp;l'!$Q40&amp;'p&amp;l'!X$34,logs!$X:$X)</f>
        <v>0</v>
      </c>
      <c r="Y40" s="57">
        <f ca="1">I40-SUMIF(logs!$M:$M,'p&amp;l'!$Q40&amp;'p&amp;l'!Y$34,logs!$X:$X)</f>
        <v>0</v>
      </c>
      <c r="Z40" s="57">
        <f ca="1">J40-SUMIF(logs!$M:$M,'p&amp;l'!$Q40&amp;'p&amp;l'!Z$34,logs!$X:$X)</f>
        <v>0</v>
      </c>
      <c r="AA40" s="57">
        <f ca="1">K40-SUMIF(logs!$M:$M,'p&amp;l'!$Q40&amp;'p&amp;l'!AA$34,logs!$X:$X)</f>
        <v>0</v>
      </c>
      <c r="AB40" s="57">
        <f ca="1">L40-SUMIF(logs!$M:$M,'p&amp;l'!$Q40&amp;'p&amp;l'!AB$34,logs!$X:$X)</f>
        <v>0</v>
      </c>
      <c r="AC40" s="57">
        <f ca="1">M40-SUMIF(logs!$M:$M,'p&amp;l'!$Q40&amp;'p&amp;l'!AC$34,logs!$X:$X)</f>
        <v>0</v>
      </c>
      <c r="AD40" s="57">
        <f ca="1">N40-SUMIF(logs!$M:$M,'p&amp;l'!$Q40&amp;'p&amp;l'!AD$34,logs!$X:$X)</f>
        <v>0</v>
      </c>
      <c r="AE40" s="58">
        <f t="shared" ca="1" si="7"/>
        <v>0</v>
      </c>
      <c r="AG40" s="44" t="s">
        <v>135</v>
      </c>
      <c r="AH40" s="57">
        <f ca="1">-SUMIFS(logs!$R:$R,logs!$M:$M,'p&amp;l'!$AG40&amp;'p&amp;l'!AH$34,logs!$A:$A,"&lt;="&amp;assumptions!$C$2)</f>
        <v>0</v>
      </c>
      <c r="AI40" s="57">
        <f ca="1">-SUMIFS(logs!$R:$R,logs!$M:$M,'p&amp;l'!$AG40&amp;'p&amp;l'!AI$34,logs!$A:$A,"&lt;="&amp;assumptions!$C$2)</f>
        <v>0</v>
      </c>
      <c r="AJ40" s="57">
        <f ca="1">-SUMIFS(logs!$R:$R,logs!$M:$M,'p&amp;l'!$AG40&amp;'p&amp;l'!AJ$34,logs!$A:$A,"&lt;="&amp;assumptions!$C$2)</f>
        <v>0</v>
      </c>
      <c r="AK40" s="57">
        <f ca="1">-SUMIFS(logs!$R:$R,logs!$M:$M,'p&amp;l'!$AG40&amp;'p&amp;l'!AK$34,logs!$A:$A,"&lt;="&amp;assumptions!$C$2)</f>
        <v>0</v>
      </c>
      <c r="AL40" s="57">
        <f ca="1">-SUMIFS(logs!$R:$R,logs!$M:$M,'p&amp;l'!$AG40&amp;'p&amp;l'!AL$34,logs!$A:$A,"&lt;="&amp;assumptions!$C$2)</f>
        <v>0</v>
      </c>
      <c r="AM40" s="57">
        <f ca="1">-SUMIFS(logs!$R:$R,logs!$M:$M,'p&amp;l'!$AG40&amp;'p&amp;l'!AM$34,logs!$A:$A,"&lt;="&amp;assumptions!$C$2)</f>
        <v>0</v>
      </c>
      <c r="AN40" s="57">
        <f ca="1">-SUMIFS(logs!$R:$R,logs!$M:$M,'p&amp;l'!$AG40&amp;'p&amp;l'!AN$34,logs!$A:$A,"&lt;="&amp;assumptions!$C$2)</f>
        <v>0</v>
      </c>
      <c r="AO40" s="57">
        <f ca="1">-SUMIFS(logs!$R:$R,logs!$M:$M,'p&amp;l'!$AG40&amp;'p&amp;l'!AO$34,logs!$A:$A,"&lt;="&amp;assumptions!$C$2)</f>
        <v>0</v>
      </c>
      <c r="AP40" s="57">
        <f ca="1">-SUMIFS(logs!$R:$R,logs!$M:$M,'p&amp;l'!$AG40&amp;'p&amp;l'!AP$34,logs!$A:$A,"&lt;="&amp;assumptions!$C$2)</f>
        <v>0</v>
      </c>
      <c r="AQ40" s="57">
        <f ca="1">-SUMIFS(logs!$R:$R,logs!$M:$M,'p&amp;l'!$AG40&amp;'p&amp;l'!AQ$34,logs!$A:$A,"&lt;="&amp;assumptions!$C$2)</f>
        <v>0</v>
      </c>
      <c r="AR40" s="57">
        <f ca="1">-SUMIFS(logs!$R:$R,logs!$M:$M,'p&amp;l'!$AG40&amp;'p&amp;l'!AR$34,logs!$A:$A,"&lt;="&amp;assumptions!$C$2)</f>
        <v>0</v>
      </c>
      <c r="AS40" s="57">
        <f ca="1">-SUMIFS(logs!$R:$R,logs!$M:$M,'p&amp;l'!$AG40&amp;'p&amp;l'!AS$34,logs!$A:$A,"&lt;="&amp;assumptions!$C$2)</f>
        <v>0</v>
      </c>
      <c r="AT40" s="57">
        <f ca="1">-SUMIFS(logs!$R:$R,logs!$M:$M,'p&amp;l'!$AG40&amp;'p&amp;l'!AT$34,logs!$A:$A,"&lt;="&amp;assumptions!$C$2)</f>
        <v>0</v>
      </c>
      <c r="AU40" s="58">
        <f t="shared" ca="1" si="8"/>
        <v>0</v>
      </c>
    </row>
    <row r="41" spans="1:47" x14ac:dyDescent="0.35">
      <c r="A41" s="44" t="s">
        <v>178</v>
      </c>
      <c r="B41" s="57">
        <f ca="1">SUMIF(logs!$M:$M,'p&amp;l'!$A41&amp;'p&amp;l'!B$34,logs!$W:$W)+AH41</f>
        <v>0</v>
      </c>
      <c r="C41" s="57">
        <f ca="1">SUMIF(logs!$M:$M,'p&amp;l'!$A41&amp;'p&amp;l'!C$34,logs!$W:$W)+AI41</f>
        <v>0</v>
      </c>
      <c r="D41" s="57">
        <f ca="1">SUMIF(logs!$M:$M,'p&amp;l'!$A41&amp;'p&amp;l'!D$34,logs!$W:$W)+AJ41</f>
        <v>-244254.35008693987</v>
      </c>
      <c r="E41" s="57">
        <f ca="1">SUMIF(logs!$M:$M,'p&amp;l'!$A41&amp;'p&amp;l'!E$34,logs!$W:$W)+AK41</f>
        <v>0</v>
      </c>
      <c r="F41" s="57">
        <f ca="1">SUMIF(logs!$M:$M,'p&amp;l'!$A41&amp;'p&amp;l'!F$34,logs!$W:$W)+AL41</f>
        <v>0</v>
      </c>
      <c r="G41" s="57">
        <f ca="1">SUMIF(logs!$M:$M,'p&amp;l'!$A41&amp;'p&amp;l'!G$34,logs!$W:$W)+AM41</f>
        <v>0</v>
      </c>
      <c r="H41" s="57">
        <f ca="1">SUMIF(logs!$M:$M,'p&amp;l'!$A41&amp;'p&amp;l'!H$34,logs!$W:$W)+AN41</f>
        <v>20470.997365078554</v>
      </c>
      <c r="I41" s="57">
        <f ca="1">SUMIF(logs!$M:$M,'p&amp;l'!$A41&amp;'p&amp;l'!I$34,logs!$W:$W)+AO41</f>
        <v>0</v>
      </c>
      <c r="J41" s="57">
        <f ca="1">SUMIF(logs!$M:$M,'p&amp;l'!$A41&amp;'p&amp;l'!J$34,logs!$W:$W)+AP41</f>
        <v>0</v>
      </c>
      <c r="K41" s="57">
        <f ca="1">SUMIF(logs!$M:$M,'p&amp;l'!$A41&amp;'p&amp;l'!K$34,logs!$W:$W)+AQ41</f>
        <v>0</v>
      </c>
      <c r="L41" s="57">
        <f ca="1">SUMIF(logs!$M:$M,'p&amp;l'!$A41&amp;'p&amp;l'!L$34,logs!$W:$W)+AR41</f>
        <v>0</v>
      </c>
      <c r="M41" s="57">
        <f ca="1">SUMIF(logs!$M:$M,'p&amp;l'!$A41&amp;'p&amp;l'!M$34,logs!$W:$W)+AS41</f>
        <v>0</v>
      </c>
      <c r="N41" s="57">
        <f ca="1">SUMIF(logs!$M:$M,'p&amp;l'!$A41&amp;'p&amp;l'!N$34,logs!$W:$W)+AT41</f>
        <v>0</v>
      </c>
      <c r="O41" s="58">
        <f t="shared" ca="1" si="6"/>
        <v>-223783.35272186133</v>
      </c>
      <c r="Q41" s="44" t="s">
        <v>178</v>
      </c>
      <c r="R41" s="57">
        <f ca="1">B41-SUMIF(logs!$M:$M,'p&amp;l'!$Q41&amp;'p&amp;l'!R$34,logs!$X:$X)</f>
        <v>0</v>
      </c>
      <c r="S41" s="57">
        <f ca="1">C41-SUMIF(logs!$M:$M,'p&amp;l'!$Q41&amp;'p&amp;l'!S$34,logs!$X:$X)</f>
        <v>0</v>
      </c>
      <c r="T41" s="57">
        <f ca="1">D41-SUMIF(logs!$M:$M,'p&amp;l'!$Q41&amp;'p&amp;l'!T$34,logs!$X:$X)</f>
        <v>103197.66844383429</v>
      </c>
      <c r="U41" s="57">
        <f ca="1">E41-SUMIF(logs!$M:$M,'p&amp;l'!$Q41&amp;'p&amp;l'!U$34,logs!$X:$X)</f>
        <v>0</v>
      </c>
      <c r="V41" s="57">
        <f ca="1">F41-SUMIF(logs!$M:$M,'p&amp;l'!$Q41&amp;'p&amp;l'!V$34,logs!$X:$X)</f>
        <v>0</v>
      </c>
      <c r="W41" s="57">
        <f ca="1">G41-SUMIF(logs!$M:$M,'p&amp;l'!$Q41&amp;'p&amp;l'!W$34,logs!$X:$X)</f>
        <v>0</v>
      </c>
      <c r="X41" s="57">
        <f ca="1">H41-SUMIF(logs!$M:$M,'p&amp;l'!$Q41&amp;'p&amp;l'!X$34,logs!$X:$X)</f>
        <v>25866.215044127708</v>
      </c>
      <c r="Y41" s="57">
        <f ca="1">I41-SUMIF(logs!$M:$M,'p&amp;l'!$Q41&amp;'p&amp;l'!Y$34,logs!$X:$X)</f>
        <v>0</v>
      </c>
      <c r="Z41" s="57">
        <f ca="1">J41-SUMIF(logs!$M:$M,'p&amp;l'!$Q41&amp;'p&amp;l'!Z$34,logs!$X:$X)</f>
        <v>0</v>
      </c>
      <c r="AA41" s="57">
        <f ca="1">K41-SUMIF(logs!$M:$M,'p&amp;l'!$Q41&amp;'p&amp;l'!AA$34,logs!$X:$X)</f>
        <v>0</v>
      </c>
      <c r="AB41" s="57">
        <f ca="1">L41-SUMIF(logs!$M:$M,'p&amp;l'!$Q41&amp;'p&amp;l'!AB$34,logs!$X:$X)</f>
        <v>0</v>
      </c>
      <c r="AC41" s="57">
        <f ca="1">M41-SUMIF(logs!$M:$M,'p&amp;l'!$Q41&amp;'p&amp;l'!AC$34,logs!$X:$X)</f>
        <v>0</v>
      </c>
      <c r="AD41" s="57">
        <f ca="1">N41-SUMIF(logs!$M:$M,'p&amp;l'!$Q41&amp;'p&amp;l'!AD$34,logs!$X:$X)</f>
        <v>0</v>
      </c>
      <c r="AE41" s="58">
        <f t="shared" ca="1" si="7"/>
        <v>129063.883487962</v>
      </c>
      <c r="AG41" s="44" t="s">
        <v>178</v>
      </c>
      <c r="AH41" s="57">
        <f ca="1">-SUMIFS(logs!$R:$R,logs!$M:$M,'p&amp;l'!$AG41&amp;'p&amp;l'!AH$34,logs!$A:$A,"&lt;="&amp;assumptions!$C$2)</f>
        <v>0</v>
      </c>
      <c r="AI41" s="57">
        <f ca="1">-SUMIFS(logs!$R:$R,logs!$M:$M,'p&amp;l'!$AG41&amp;'p&amp;l'!AI$34,logs!$A:$A,"&lt;="&amp;assumptions!$C$2)</f>
        <v>0</v>
      </c>
      <c r="AJ41" s="57">
        <f ca="1">-SUMIFS(logs!$R:$R,logs!$M:$M,'p&amp;l'!$AG41&amp;'p&amp;l'!AJ$34,logs!$A:$A,"&lt;="&amp;assumptions!$C$2)</f>
        <v>-30.829815308853089</v>
      </c>
      <c r="AK41" s="57">
        <f ca="1">-SUMIFS(logs!$R:$R,logs!$M:$M,'p&amp;l'!$AG41&amp;'p&amp;l'!AK$34,logs!$A:$A,"&lt;="&amp;assumptions!$C$2)</f>
        <v>0</v>
      </c>
      <c r="AL41" s="57">
        <f ca="1">-SUMIFS(logs!$R:$R,logs!$M:$M,'p&amp;l'!$AG41&amp;'p&amp;l'!AL$34,logs!$A:$A,"&lt;="&amp;assumptions!$C$2)</f>
        <v>0</v>
      </c>
      <c r="AM41" s="57">
        <f ca="1">-SUMIFS(logs!$R:$R,logs!$M:$M,'p&amp;l'!$AG41&amp;'p&amp;l'!AM$34,logs!$A:$A,"&lt;="&amp;assumptions!$C$2)</f>
        <v>0</v>
      </c>
      <c r="AN41" s="57">
        <f ca="1">-SUMIFS(logs!$R:$R,logs!$M:$M,'p&amp;l'!$AG41&amp;'p&amp;l'!AN$34,logs!$A:$A,"&lt;="&amp;assumptions!$C$2)</f>
        <v>-30.829815308853089</v>
      </c>
      <c r="AO41" s="57">
        <f ca="1">-SUMIFS(logs!$R:$R,logs!$M:$M,'p&amp;l'!$AG41&amp;'p&amp;l'!AO$34,logs!$A:$A,"&lt;="&amp;assumptions!$C$2)</f>
        <v>0</v>
      </c>
      <c r="AP41" s="57">
        <f ca="1">-SUMIFS(logs!$R:$R,logs!$M:$M,'p&amp;l'!$AG41&amp;'p&amp;l'!AP$34,logs!$A:$A,"&lt;="&amp;assumptions!$C$2)</f>
        <v>0</v>
      </c>
      <c r="AQ41" s="57">
        <f ca="1">-SUMIFS(logs!$R:$R,logs!$M:$M,'p&amp;l'!$AG41&amp;'p&amp;l'!AQ$34,logs!$A:$A,"&lt;="&amp;assumptions!$C$2)</f>
        <v>0</v>
      </c>
      <c r="AR41" s="57">
        <f ca="1">-SUMIFS(logs!$R:$R,logs!$M:$M,'p&amp;l'!$AG41&amp;'p&amp;l'!AR$34,logs!$A:$A,"&lt;="&amp;assumptions!$C$2)</f>
        <v>0</v>
      </c>
      <c r="AS41" s="57">
        <f ca="1">-SUMIFS(logs!$R:$R,logs!$M:$M,'p&amp;l'!$AG41&amp;'p&amp;l'!AS$34,logs!$A:$A,"&lt;="&amp;assumptions!$C$2)</f>
        <v>0</v>
      </c>
      <c r="AT41" s="57">
        <f ca="1">-SUMIFS(logs!$R:$R,logs!$M:$M,'p&amp;l'!$AG41&amp;'p&amp;l'!AT$34,logs!$A:$A,"&lt;="&amp;assumptions!$C$2)</f>
        <v>0</v>
      </c>
      <c r="AU41" s="58">
        <f t="shared" ca="1" si="8"/>
        <v>-61.659630617706178</v>
      </c>
    </row>
    <row r="42" spans="1:47" x14ac:dyDescent="0.35">
      <c r="A42" s="45" t="s">
        <v>25</v>
      </c>
      <c r="B42" s="59">
        <f ca="1">SUMIF(logs!$M:$M,'p&amp;l'!$A42&amp;'p&amp;l'!B$34,logs!$W:$W)+AH42</f>
        <v>0</v>
      </c>
      <c r="C42" s="59">
        <f ca="1">SUMIF(logs!$M:$M,'p&amp;l'!$A42&amp;'p&amp;l'!C$34,logs!$W:$W)+AI42</f>
        <v>0</v>
      </c>
      <c r="D42" s="59">
        <f ca="1">SUMIF(logs!$M:$M,'p&amp;l'!$A42&amp;'p&amp;l'!D$34,logs!$W:$W)+AJ42</f>
        <v>0</v>
      </c>
      <c r="E42" s="59">
        <f ca="1">SUMIF(logs!$M:$M,'p&amp;l'!$A42&amp;'p&amp;l'!E$34,logs!$W:$W)+AK42</f>
        <v>0</v>
      </c>
      <c r="F42" s="59">
        <f ca="1">SUMIF(logs!$M:$M,'p&amp;l'!$A42&amp;'p&amp;l'!F$34,logs!$W:$W)+AL42</f>
        <v>0</v>
      </c>
      <c r="G42" s="59">
        <f ca="1">SUMIF(logs!$M:$M,'p&amp;l'!$A42&amp;'p&amp;l'!G$34,logs!$W:$W)+AM42</f>
        <v>0</v>
      </c>
      <c r="H42" s="59">
        <f ca="1">SUMIF(logs!$M:$M,'p&amp;l'!$A42&amp;'p&amp;l'!H$34,logs!$W:$W)+AN42</f>
        <v>0</v>
      </c>
      <c r="I42" s="59">
        <f ca="1">SUMIF(logs!$M:$M,'p&amp;l'!$A42&amp;'p&amp;l'!I$34,logs!$W:$W)+AO42</f>
        <v>0</v>
      </c>
      <c r="J42" s="59">
        <f ca="1">SUMIF(logs!$M:$M,'p&amp;l'!$A42&amp;'p&amp;l'!J$34,logs!$W:$W)+AP42</f>
        <v>0</v>
      </c>
      <c r="K42" s="59">
        <f ca="1">SUMIF(logs!$M:$M,'p&amp;l'!$A42&amp;'p&amp;l'!K$34,logs!$W:$W)+AQ42</f>
        <v>-985.16000000000031</v>
      </c>
      <c r="L42" s="59">
        <f ca="1">SUMIF(logs!$M:$M,'p&amp;l'!$A42&amp;'p&amp;l'!L$34,logs!$W:$W)+AR42</f>
        <v>0</v>
      </c>
      <c r="M42" s="59">
        <f ca="1">SUMIF(logs!$M:$M,'p&amp;l'!$A42&amp;'p&amp;l'!M$34,logs!$W:$W)+AS42</f>
        <v>0</v>
      </c>
      <c r="N42" s="59">
        <f ca="1">SUMIF(logs!$M:$M,'p&amp;l'!$A42&amp;'p&amp;l'!N$34,logs!$W:$W)+AT42</f>
        <v>0</v>
      </c>
      <c r="O42" s="60">
        <f t="shared" ca="1" si="6"/>
        <v>-985.16000000000031</v>
      </c>
      <c r="Q42" s="45" t="s">
        <v>25</v>
      </c>
      <c r="R42" s="59">
        <f ca="1">B42-SUMIF(logs!$M:$M,'p&amp;l'!$Q42&amp;'p&amp;l'!R$34,logs!$X:$X)</f>
        <v>0</v>
      </c>
      <c r="S42" s="59">
        <f ca="1">C42-SUMIF(logs!$M:$M,'p&amp;l'!$Q42&amp;'p&amp;l'!S$34,logs!$X:$X)</f>
        <v>0</v>
      </c>
      <c r="T42" s="59">
        <f ca="1">D42-SUMIF(logs!$M:$M,'p&amp;l'!$Q42&amp;'p&amp;l'!T$34,logs!$X:$X)</f>
        <v>0</v>
      </c>
      <c r="U42" s="59">
        <f ca="1">E42-SUMIF(logs!$M:$M,'p&amp;l'!$Q42&amp;'p&amp;l'!U$34,logs!$X:$X)</f>
        <v>0</v>
      </c>
      <c r="V42" s="59">
        <f ca="1">F42-SUMIF(logs!$M:$M,'p&amp;l'!$Q42&amp;'p&amp;l'!V$34,logs!$X:$X)</f>
        <v>0</v>
      </c>
      <c r="W42" s="59">
        <f ca="1">G42-SUMIF(logs!$M:$M,'p&amp;l'!$Q42&amp;'p&amp;l'!W$34,logs!$X:$X)</f>
        <v>0</v>
      </c>
      <c r="X42" s="59">
        <f ca="1">H42-SUMIF(logs!$M:$M,'p&amp;l'!$Q42&amp;'p&amp;l'!X$34,logs!$X:$X)</f>
        <v>0</v>
      </c>
      <c r="Y42" s="59">
        <f ca="1">I42-SUMIF(logs!$M:$M,'p&amp;l'!$Q42&amp;'p&amp;l'!Y$34,logs!$X:$X)</f>
        <v>0</v>
      </c>
      <c r="Z42" s="59">
        <f ca="1">J42-SUMIF(logs!$M:$M,'p&amp;l'!$Q42&amp;'p&amp;l'!Z$34,logs!$X:$X)</f>
        <v>0</v>
      </c>
      <c r="AA42" s="59">
        <f ca="1">K42-SUMIF(logs!$M:$M,'p&amp;l'!$Q42&amp;'p&amp;l'!AA$34,logs!$X:$X)</f>
        <v>-83.160000000000423</v>
      </c>
      <c r="AB42" s="59">
        <f ca="1">L42-SUMIF(logs!$M:$M,'p&amp;l'!$Q42&amp;'p&amp;l'!AB$34,logs!$X:$X)</f>
        <v>0</v>
      </c>
      <c r="AC42" s="59">
        <f ca="1">M42-SUMIF(logs!$M:$M,'p&amp;l'!$Q42&amp;'p&amp;l'!AC$34,logs!$X:$X)</f>
        <v>0</v>
      </c>
      <c r="AD42" s="59">
        <f ca="1">N42-SUMIF(logs!$M:$M,'p&amp;l'!$Q42&amp;'p&amp;l'!AD$34,logs!$X:$X)</f>
        <v>0</v>
      </c>
      <c r="AE42" s="60">
        <f t="shared" ca="1" si="7"/>
        <v>-83.160000000000423</v>
      </c>
      <c r="AG42" s="45" t="s">
        <v>25</v>
      </c>
      <c r="AH42" s="59">
        <f ca="1">-SUMIFS(logs!$R:$R,logs!$M:$M,'p&amp;l'!$AG42&amp;'p&amp;l'!AH$34,logs!$A:$A,"&lt;="&amp;assumptions!$C$2)</f>
        <v>0</v>
      </c>
      <c r="AI42" s="59">
        <f ca="1">-SUMIFS(logs!$R:$R,logs!$M:$M,'p&amp;l'!$AG42&amp;'p&amp;l'!AI$34,logs!$A:$A,"&lt;="&amp;assumptions!$C$2)</f>
        <v>0</v>
      </c>
      <c r="AJ42" s="59">
        <f ca="1">-SUMIFS(logs!$R:$R,logs!$M:$M,'p&amp;l'!$AG42&amp;'p&amp;l'!AJ$34,logs!$A:$A,"&lt;="&amp;assumptions!$C$2)</f>
        <v>0</v>
      </c>
      <c r="AK42" s="59">
        <f ca="1">-SUMIFS(logs!$R:$R,logs!$M:$M,'p&amp;l'!$AG42&amp;'p&amp;l'!AK$34,logs!$A:$A,"&lt;="&amp;assumptions!$C$2)</f>
        <v>0</v>
      </c>
      <c r="AL42" s="59">
        <f ca="1">-SUMIFS(logs!$R:$R,logs!$M:$M,'p&amp;l'!$AG42&amp;'p&amp;l'!AL$34,logs!$A:$A,"&lt;="&amp;assumptions!$C$2)</f>
        <v>0</v>
      </c>
      <c r="AM42" s="59">
        <f ca="1">-SUMIFS(logs!$R:$R,logs!$M:$M,'p&amp;l'!$AG42&amp;'p&amp;l'!AM$34,logs!$A:$A,"&lt;="&amp;assumptions!$C$2)</f>
        <v>0</v>
      </c>
      <c r="AN42" s="59">
        <f ca="1">-SUMIFS(logs!$R:$R,logs!$M:$M,'p&amp;l'!$AG42&amp;'p&amp;l'!AN$34,logs!$A:$A,"&lt;="&amp;assumptions!$C$2)</f>
        <v>0</v>
      </c>
      <c r="AO42" s="59">
        <f ca="1">-SUMIFS(logs!$R:$R,logs!$M:$M,'p&amp;l'!$AG42&amp;'p&amp;l'!AO$34,logs!$A:$A,"&lt;="&amp;assumptions!$C$2)</f>
        <v>0</v>
      </c>
      <c r="AP42" s="59">
        <f ca="1">-SUMIFS(logs!$R:$R,logs!$M:$M,'p&amp;l'!$AG42&amp;'p&amp;l'!AP$34,logs!$A:$A,"&lt;="&amp;assumptions!$C$2)</f>
        <v>0</v>
      </c>
      <c r="AQ42" s="59">
        <f ca="1">-SUMIFS(logs!$R:$R,logs!$M:$M,'p&amp;l'!$AG42&amp;'p&amp;l'!AQ$34,logs!$A:$A,"&lt;="&amp;assumptions!$C$2)</f>
        <v>-17.16</v>
      </c>
      <c r="AR42" s="59">
        <f ca="1">-SUMIFS(logs!$R:$R,logs!$M:$M,'p&amp;l'!$AG42&amp;'p&amp;l'!AR$34,logs!$A:$A,"&lt;="&amp;assumptions!$C$2)</f>
        <v>0</v>
      </c>
      <c r="AS42" s="59">
        <f ca="1">-SUMIFS(logs!$R:$R,logs!$M:$M,'p&amp;l'!$AG42&amp;'p&amp;l'!AS$34,logs!$A:$A,"&lt;="&amp;assumptions!$C$2)</f>
        <v>0</v>
      </c>
      <c r="AT42" s="59">
        <f ca="1">-SUMIFS(logs!$R:$R,logs!$M:$M,'p&amp;l'!$AG42&amp;'p&amp;l'!AT$34,logs!$A:$A,"&lt;="&amp;assumptions!$C$2)</f>
        <v>0</v>
      </c>
      <c r="AU42" s="60">
        <f t="shared" ca="1" si="8"/>
        <v>-17.16</v>
      </c>
    </row>
    <row r="43" spans="1:47" x14ac:dyDescent="0.35">
      <c r="A43" s="56" t="s">
        <v>101</v>
      </c>
      <c r="B43" s="61">
        <f ca="1">SUMIF(logs!$M:$M,'p&amp;l'!$A43&amp;'p&amp;l'!B$34,logs!$W:$W)+AH43</f>
        <v>0</v>
      </c>
      <c r="C43" s="61">
        <f ca="1">SUMIF(logs!$M:$M,'p&amp;l'!$A43&amp;'p&amp;l'!C$34,logs!$W:$W)+AI43</f>
        <v>0</v>
      </c>
      <c r="D43" s="61">
        <f ca="1">SUMIF(logs!$M:$M,'p&amp;l'!$A43&amp;'p&amp;l'!D$34,logs!$W:$W)+AJ43</f>
        <v>0</v>
      </c>
      <c r="E43" s="61">
        <f ca="1">SUMIF(logs!$M:$M,'p&amp;l'!$A43&amp;'p&amp;l'!E$34,logs!$W:$W)+AK43</f>
        <v>0</v>
      </c>
      <c r="F43" s="61">
        <f ca="1">SUMIF(logs!$M:$M,'p&amp;l'!$A43&amp;'p&amp;l'!F$34,logs!$W:$W)+AL43</f>
        <v>0</v>
      </c>
      <c r="G43" s="61">
        <f ca="1">SUMIF(logs!$M:$M,'p&amp;l'!$A43&amp;'p&amp;l'!G$34,logs!$W:$W)+AM43</f>
        <v>0</v>
      </c>
      <c r="H43" s="61">
        <f ca="1">SUMIF(logs!$M:$M,'p&amp;l'!$A43&amp;'p&amp;l'!H$34,logs!$W:$W)+AN43</f>
        <v>0</v>
      </c>
      <c r="I43" s="61">
        <f ca="1">SUMIF(logs!$M:$M,'p&amp;l'!$A43&amp;'p&amp;l'!I$34,logs!$W:$W)+AO43</f>
        <v>0</v>
      </c>
      <c r="J43" s="61">
        <f ca="1">SUMIF(logs!$M:$M,'p&amp;l'!$A43&amp;'p&amp;l'!J$34,logs!$W:$W)+AP43</f>
        <v>0</v>
      </c>
      <c r="K43" s="61">
        <f ca="1">SUMIF(logs!$M:$M,'p&amp;l'!$A43&amp;'p&amp;l'!K$34,logs!$W:$W)+AQ43</f>
        <v>0</v>
      </c>
      <c r="L43" s="61">
        <f ca="1">SUMIF(logs!$M:$M,'p&amp;l'!$A43&amp;'p&amp;l'!L$34,logs!$W:$W)+AR43</f>
        <v>0</v>
      </c>
      <c r="M43" s="61">
        <f ca="1">SUMIF(logs!$M:$M,'p&amp;l'!$A43&amp;'p&amp;l'!M$34,logs!$W:$W)+AS43</f>
        <v>0</v>
      </c>
      <c r="N43" s="61">
        <f ca="1">SUMIF(logs!$M:$M,'p&amp;l'!$A43&amp;'p&amp;l'!N$34,logs!$W:$W)+AT43</f>
        <v>0</v>
      </c>
      <c r="O43" s="62">
        <f t="shared" ca="1" si="6"/>
        <v>0</v>
      </c>
      <c r="Q43" s="56" t="s">
        <v>101</v>
      </c>
      <c r="R43" s="61">
        <f ca="1">B43-SUMIF(logs!$M:$M,'p&amp;l'!$Q43&amp;'p&amp;l'!R$34,logs!$X:$X)</f>
        <v>0</v>
      </c>
      <c r="S43" s="61">
        <f ca="1">C43-SUMIF(logs!$M:$M,'p&amp;l'!$Q43&amp;'p&amp;l'!S$34,logs!$X:$X)</f>
        <v>0</v>
      </c>
      <c r="T43" s="61">
        <f ca="1">D43-SUMIF(logs!$M:$M,'p&amp;l'!$Q43&amp;'p&amp;l'!T$34,logs!$X:$X)</f>
        <v>0</v>
      </c>
      <c r="U43" s="61">
        <f ca="1">E43-SUMIF(logs!$M:$M,'p&amp;l'!$Q43&amp;'p&amp;l'!U$34,logs!$X:$X)</f>
        <v>0</v>
      </c>
      <c r="V43" s="61">
        <f ca="1">F43-SUMIF(logs!$M:$M,'p&amp;l'!$Q43&amp;'p&amp;l'!V$34,logs!$X:$X)</f>
        <v>0</v>
      </c>
      <c r="W43" s="61">
        <f ca="1">G43-SUMIF(logs!$M:$M,'p&amp;l'!$Q43&amp;'p&amp;l'!W$34,logs!$X:$X)</f>
        <v>0</v>
      </c>
      <c r="X43" s="61">
        <f ca="1">H43-SUMIF(logs!$M:$M,'p&amp;l'!$Q43&amp;'p&amp;l'!X$34,logs!$X:$X)</f>
        <v>0</v>
      </c>
      <c r="Y43" s="61">
        <f ca="1">I43-SUMIF(logs!$M:$M,'p&amp;l'!$Q43&amp;'p&amp;l'!Y$34,logs!$X:$X)</f>
        <v>0</v>
      </c>
      <c r="Z43" s="61">
        <f ca="1">J43-SUMIF(logs!$M:$M,'p&amp;l'!$Q43&amp;'p&amp;l'!Z$34,logs!$X:$X)</f>
        <v>0</v>
      </c>
      <c r="AA43" s="61">
        <f ca="1">K43-SUMIF(logs!$M:$M,'p&amp;l'!$Q43&amp;'p&amp;l'!AA$34,logs!$X:$X)</f>
        <v>0</v>
      </c>
      <c r="AB43" s="61">
        <f ca="1">L43-SUMIF(logs!$M:$M,'p&amp;l'!$Q43&amp;'p&amp;l'!AB$34,logs!$X:$X)</f>
        <v>0</v>
      </c>
      <c r="AC43" s="61">
        <f ca="1">M43-SUMIF(logs!$M:$M,'p&amp;l'!$Q43&amp;'p&amp;l'!AC$34,logs!$X:$X)</f>
        <v>0</v>
      </c>
      <c r="AD43" s="61">
        <f ca="1">N43-SUMIF(logs!$M:$M,'p&amp;l'!$Q43&amp;'p&amp;l'!AD$34,logs!$X:$X)</f>
        <v>0</v>
      </c>
      <c r="AE43" s="62">
        <f t="shared" ca="1" si="7"/>
        <v>0</v>
      </c>
      <c r="AG43" s="56" t="s">
        <v>101</v>
      </c>
      <c r="AH43" s="61">
        <f ca="1">-SUMIFS(logs!$R:$R,logs!$M:$M,'p&amp;l'!$AG43&amp;'p&amp;l'!AH$34,logs!$A:$A,"&lt;="&amp;assumptions!$C$2)</f>
        <v>0</v>
      </c>
      <c r="AI43" s="61">
        <f ca="1">-SUMIFS(logs!$R:$R,logs!$M:$M,'p&amp;l'!$AG43&amp;'p&amp;l'!AI$34,logs!$A:$A,"&lt;="&amp;assumptions!$C$2)</f>
        <v>0</v>
      </c>
      <c r="AJ43" s="61">
        <f ca="1">-SUMIFS(logs!$R:$R,logs!$M:$M,'p&amp;l'!$AG43&amp;'p&amp;l'!AJ$34,logs!$A:$A,"&lt;="&amp;assumptions!$C$2)</f>
        <v>0</v>
      </c>
      <c r="AK43" s="61">
        <f ca="1">-SUMIFS(logs!$R:$R,logs!$M:$M,'p&amp;l'!$AG43&amp;'p&amp;l'!AK$34,logs!$A:$A,"&lt;="&amp;assumptions!$C$2)</f>
        <v>0</v>
      </c>
      <c r="AL43" s="61">
        <f ca="1">-SUMIFS(logs!$R:$R,logs!$M:$M,'p&amp;l'!$AG43&amp;'p&amp;l'!AL$34,logs!$A:$A,"&lt;="&amp;assumptions!$C$2)</f>
        <v>0</v>
      </c>
      <c r="AM43" s="61">
        <f ca="1">-SUMIFS(logs!$R:$R,logs!$M:$M,'p&amp;l'!$AG43&amp;'p&amp;l'!AM$34,logs!$A:$A,"&lt;="&amp;assumptions!$C$2)</f>
        <v>0</v>
      </c>
      <c r="AN43" s="61">
        <f ca="1">-SUMIFS(logs!$R:$R,logs!$M:$M,'p&amp;l'!$AG43&amp;'p&amp;l'!AN$34,logs!$A:$A,"&lt;="&amp;assumptions!$C$2)</f>
        <v>0</v>
      </c>
      <c r="AO43" s="61">
        <f ca="1">-SUMIFS(logs!$R:$R,logs!$M:$M,'p&amp;l'!$AG43&amp;'p&amp;l'!AO$34,logs!$A:$A,"&lt;="&amp;assumptions!$C$2)</f>
        <v>0</v>
      </c>
      <c r="AP43" s="61">
        <f ca="1">-SUMIFS(logs!$R:$R,logs!$M:$M,'p&amp;l'!$AG43&amp;'p&amp;l'!AP$34,logs!$A:$A,"&lt;="&amp;assumptions!$C$2)</f>
        <v>0</v>
      </c>
      <c r="AQ43" s="61">
        <f ca="1">-SUMIFS(logs!$R:$R,logs!$M:$M,'p&amp;l'!$AG43&amp;'p&amp;l'!AQ$34,logs!$A:$A,"&lt;="&amp;assumptions!$C$2)</f>
        <v>0</v>
      </c>
      <c r="AR43" s="61">
        <f ca="1">-SUMIFS(logs!$R:$R,logs!$M:$M,'p&amp;l'!$AG43&amp;'p&amp;l'!AR$34,logs!$A:$A,"&lt;="&amp;assumptions!$C$2)</f>
        <v>0</v>
      </c>
      <c r="AS43" s="61">
        <f ca="1">-SUMIFS(logs!$R:$R,logs!$M:$M,'p&amp;l'!$AG43&amp;'p&amp;l'!AS$34,logs!$A:$A,"&lt;="&amp;assumptions!$C$2)</f>
        <v>0</v>
      </c>
      <c r="AT43" s="61">
        <f ca="1">-SUMIFS(logs!$R:$R,logs!$M:$M,'p&amp;l'!$AG43&amp;'p&amp;l'!AT$34,logs!$A:$A,"&lt;="&amp;assumptions!$C$2)</f>
        <v>0</v>
      </c>
      <c r="AU43" s="62">
        <f t="shared" ca="1" si="8"/>
        <v>0</v>
      </c>
    </row>
    <row r="44" spans="1:47" x14ac:dyDescent="0.35">
      <c r="A44" s="44" t="s">
        <v>163</v>
      </c>
      <c r="B44" s="57">
        <f ca="1">SUMIF(logs!$M:$M,'p&amp;l'!$A44&amp;'p&amp;l'!B$34,logs!$W:$W)+AH44</f>
        <v>0</v>
      </c>
      <c r="C44" s="57">
        <f ca="1">SUMIF(logs!$M:$M,'p&amp;l'!$A44&amp;'p&amp;l'!C$34,logs!$W:$W)+AI44</f>
        <v>0</v>
      </c>
      <c r="D44" s="57">
        <f ca="1">SUMIF(logs!$M:$M,'p&amp;l'!$A44&amp;'p&amp;l'!D$34,logs!$W:$W)+AJ44</f>
        <v>0</v>
      </c>
      <c r="E44" s="57">
        <f ca="1">SUMIF(logs!$M:$M,'p&amp;l'!$A44&amp;'p&amp;l'!E$34,logs!$W:$W)+AK44</f>
        <v>0</v>
      </c>
      <c r="F44" s="57">
        <f ca="1">SUMIF(logs!$M:$M,'p&amp;l'!$A44&amp;'p&amp;l'!F$34,logs!$W:$W)+AL44</f>
        <v>0</v>
      </c>
      <c r="G44" s="57">
        <f ca="1">SUMIF(logs!$M:$M,'p&amp;l'!$A44&amp;'p&amp;l'!G$34,logs!$W:$W)+AM44</f>
        <v>0</v>
      </c>
      <c r="H44" s="57">
        <f ca="1">SUMIF(logs!$M:$M,'p&amp;l'!$A44&amp;'p&amp;l'!H$34,logs!$W:$W)+AN44</f>
        <v>0</v>
      </c>
      <c r="I44" s="57">
        <f ca="1">SUMIF(logs!$M:$M,'p&amp;l'!$A44&amp;'p&amp;l'!I$34,logs!$W:$W)+AO44</f>
        <v>0</v>
      </c>
      <c r="J44" s="57">
        <f ca="1">SUMIF(logs!$M:$M,'p&amp;l'!$A44&amp;'p&amp;l'!J$34,logs!$W:$W)+AP44</f>
        <v>0</v>
      </c>
      <c r="K44" s="57">
        <f ca="1">SUMIF(logs!$M:$M,'p&amp;l'!$A44&amp;'p&amp;l'!K$34,logs!$W:$W)+AQ44</f>
        <v>0</v>
      </c>
      <c r="L44" s="57">
        <f ca="1">SUMIF(logs!$M:$M,'p&amp;l'!$A44&amp;'p&amp;l'!L$34,logs!$W:$W)+AR44</f>
        <v>0</v>
      </c>
      <c r="M44" s="57">
        <f ca="1">SUMIF(logs!$M:$M,'p&amp;l'!$A44&amp;'p&amp;l'!M$34,logs!$W:$W)+AS44</f>
        <v>0</v>
      </c>
      <c r="N44" s="57">
        <f ca="1">SUMIF(logs!$M:$M,'p&amp;l'!$A44&amp;'p&amp;l'!N$34,logs!$W:$W)+AT44</f>
        <v>0</v>
      </c>
      <c r="O44" s="58">
        <f t="shared" ca="1" si="6"/>
        <v>0</v>
      </c>
      <c r="Q44" s="44" t="s">
        <v>163</v>
      </c>
      <c r="R44" s="57">
        <f ca="1">B44-SUMIF(logs!$M:$M,'p&amp;l'!$Q44&amp;'p&amp;l'!R$34,logs!$X:$X)</f>
        <v>0</v>
      </c>
      <c r="S44" s="57">
        <f ca="1">C44-SUMIF(logs!$M:$M,'p&amp;l'!$Q44&amp;'p&amp;l'!S$34,logs!$X:$X)</f>
        <v>0</v>
      </c>
      <c r="T44" s="57">
        <f ca="1">D44-SUMIF(logs!$M:$M,'p&amp;l'!$Q44&amp;'p&amp;l'!T$34,logs!$X:$X)</f>
        <v>0</v>
      </c>
      <c r="U44" s="57">
        <f ca="1">E44-SUMIF(logs!$M:$M,'p&amp;l'!$Q44&amp;'p&amp;l'!U$34,logs!$X:$X)</f>
        <v>0</v>
      </c>
      <c r="V44" s="57">
        <f ca="1">F44-SUMIF(logs!$M:$M,'p&amp;l'!$Q44&amp;'p&amp;l'!V$34,logs!$X:$X)</f>
        <v>0</v>
      </c>
      <c r="W44" s="57">
        <f ca="1">G44-SUMIF(logs!$M:$M,'p&amp;l'!$Q44&amp;'p&amp;l'!W$34,logs!$X:$X)</f>
        <v>0</v>
      </c>
      <c r="X44" s="57">
        <f ca="1">H44-SUMIF(logs!$M:$M,'p&amp;l'!$Q44&amp;'p&amp;l'!X$34,logs!$X:$X)</f>
        <v>0</v>
      </c>
      <c r="Y44" s="57">
        <f ca="1">I44-SUMIF(logs!$M:$M,'p&amp;l'!$Q44&amp;'p&amp;l'!Y$34,logs!$X:$X)</f>
        <v>0</v>
      </c>
      <c r="Z44" s="57">
        <f ca="1">J44-SUMIF(logs!$M:$M,'p&amp;l'!$Q44&amp;'p&amp;l'!Z$34,logs!$X:$X)</f>
        <v>0</v>
      </c>
      <c r="AA44" s="57">
        <f ca="1">K44-SUMIF(logs!$M:$M,'p&amp;l'!$Q44&amp;'p&amp;l'!AA$34,logs!$X:$X)</f>
        <v>0</v>
      </c>
      <c r="AB44" s="57">
        <f ca="1">L44-SUMIF(logs!$M:$M,'p&amp;l'!$Q44&amp;'p&amp;l'!AB$34,logs!$X:$X)</f>
        <v>0</v>
      </c>
      <c r="AC44" s="57">
        <f ca="1">M44-SUMIF(logs!$M:$M,'p&amp;l'!$Q44&amp;'p&amp;l'!AC$34,logs!$X:$X)</f>
        <v>0</v>
      </c>
      <c r="AD44" s="57">
        <f ca="1">N44-SUMIF(logs!$M:$M,'p&amp;l'!$Q44&amp;'p&amp;l'!AD$34,logs!$X:$X)</f>
        <v>0</v>
      </c>
      <c r="AE44" s="58">
        <f t="shared" ca="1" si="7"/>
        <v>0</v>
      </c>
      <c r="AG44" s="44" t="s">
        <v>163</v>
      </c>
      <c r="AH44" s="57">
        <f ca="1">-SUMIFS(logs!$R:$R,logs!$M:$M,'p&amp;l'!$AG44&amp;'p&amp;l'!AH$34,logs!$A:$A,"&lt;="&amp;assumptions!$C$2)</f>
        <v>0</v>
      </c>
      <c r="AI44" s="57">
        <f ca="1">-SUMIFS(logs!$R:$R,logs!$M:$M,'p&amp;l'!$AG44&amp;'p&amp;l'!AI$34,logs!$A:$A,"&lt;="&amp;assumptions!$C$2)</f>
        <v>0</v>
      </c>
      <c r="AJ44" s="57">
        <f ca="1">-SUMIFS(logs!$R:$R,logs!$M:$M,'p&amp;l'!$AG44&amp;'p&amp;l'!AJ$34,logs!$A:$A,"&lt;="&amp;assumptions!$C$2)</f>
        <v>0</v>
      </c>
      <c r="AK44" s="57">
        <f ca="1">-SUMIFS(logs!$R:$R,logs!$M:$M,'p&amp;l'!$AG44&amp;'p&amp;l'!AK$34,logs!$A:$A,"&lt;="&amp;assumptions!$C$2)</f>
        <v>0</v>
      </c>
      <c r="AL44" s="57">
        <f ca="1">-SUMIFS(logs!$R:$R,logs!$M:$M,'p&amp;l'!$AG44&amp;'p&amp;l'!AL$34,logs!$A:$A,"&lt;="&amp;assumptions!$C$2)</f>
        <v>0</v>
      </c>
      <c r="AM44" s="57">
        <f ca="1">-SUMIFS(logs!$R:$R,logs!$M:$M,'p&amp;l'!$AG44&amp;'p&amp;l'!AM$34,logs!$A:$A,"&lt;="&amp;assumptions!$C$2)</f>
        <v>0</v>
      </c>
      <c r="AN44" s="57">
        <f ca="1">-SUMIFS(logs!$R:$R,logs!$M:$M,'p&amp;l'!$AG44&amp;'p&amp;l'!AN$34,logs!$A:$A,"&lt;="&amp;assumptions!$C$2)</f>
        <v>0</v>
      </c>
      <c r="AO44" s="57">
        <f ca="1">-SUMIFS(logs!$R:$R,logs!$M:$M,'p&amp;l'!$AG44&amp;'p&amp;l'!AO$34,logs!$A:$A,"&lt;="&amp;assumptions!$C$2)</f>
        <v>0</v>
      </c>
      <c r="AP44" s="57">
        <f ca="1">-SUMIFS(logs!$R:$R,logs!$M:$M,'p&amp;l'!$AG44&amp;'p&amp;l'!AP$34,logs!$A:$A,"&lt;="&amp;assumptions!$C$2)</f>
        <v>0</v>
      </c>
      <c r="AQ44" s="57">
        <f ca="1">-SUMIFS(logs!$R:$R,logs!$M:$M,'p&amp;l'!$AG44&amp;'p&amp;l'!AQ$34,logs!$A:$A,"&lt;="&amp;assumptions!$C$2)</f>
        <v>0</v>
      </c>
      <c r="AR44" s="57">
        <f ca="1">-SUMIFS(logs!$R:$R,logs!$M:$M,'p&amp;l'!$AG44&amp;'p&amp;l'!AR$34,logs!$A:$A,"&lt;="&amp;assumptions!$C$2)</f>
        <v>0</v>
      </c>
      <c r="AS44" s="57">
        <f ca="1">-SUMIFS(logs!$R:$R,logs!$M:$M,'p&amp;l'!$AG44&amp;'p&amp;l'!AS$34,logs!$A:$A,"&lt;="&amp;assumptions!$C$2)</f>
        <v>0</v>
      </c>
      <c r="AT44" s="57">
        <f ca="1">-SUMIFS(logs!$R:$R,logs!$M:$M,'p&amp;l'!$AG44&amp;'p&amp;l'!AT$34,logs!$A:$A,"&lt;="&amp;assumptions!$C$2)</f>
        <v>0</v>
      </c>
      <c r="AU44" s="58">
        <f t="shared" ca="1" si="8"/>
        <v>0</v>
      </c>
    </row>
    <row r="45" spans="1:47" x14ac:dyDescent="0.35">
      <c r="A45" s="44" t="s">
        <v>30</v>
      </c>
      <c r="B45" s="57">
        <f ca="1">SUMIF(logs!$M:$M,'p&amp;l'!$A45&amp;'p&amp;l'!B$34,logs!$W:$W)+AH45</f>
        <v>0</v>
      </c>
      <c r="C45" s="57">
        <f ca="1">SUMIF(logs!$M:$M,'p&amp;l'!$A45&amp;'p&amp;l'!C$34,logs!$W:$W)+AI45</f>
        <v>0</v>
      </c>
      <c r="D45" s="57">
        <f ca="1">SUMIF(logs!$M:$M,'p&amp;l'!$A45&amp;'p&amp;l'!D$34,logs!$W:$W)+AJ45</f>
        <v>0</v>
      </c>
      <c r="E45" s="57">
        <f ca="1">SUMIF(logs!$M:$M,'p&amp;l'!$A45&amp;'p&amp;l'!E$34,logs!$W:$W)+AK45</f>
        <v>0</v>
      </c>
      <c r="F45" s="57">
        <f ca="1">SUMIF(logs!$M:$M,'p&amp;l'!$A45&amp;'p&amp;l'!F$34,logs!$W:$W)+AL45</f>
        <v>92471.140000000029</v>
      </c>
      <c r="G45" s="57">
        <f ca="1">SUMIF(logs!$M:$M,'p&amp;l'!$A45&amp;'p&amp;l'!G$34,logs!$W:$W)+AM45</f>
        <v>0</v>
      </c>
      <c r="H45" s="57">
        <f ca="1">SUMIF(logs!$M:$M,'p&amp;l'!$A45&amp;'p&amp;l'!H$34,logs!$W:$W)+AN45</f>
        <v>0</v>
      </c>
      <c r="I45" s="57">
        <f ca="1">SUMIF(logs!$M:$M,'p&amp;l'!$A45&amp;'p&amp;l'!I$34,logs!$W:$W)+AO45</f>
        <v>0</v>
      </c>
      <c r="J45" s="57">
        <f ca="1">SUMIF(logs!$M:$M,'p&amp;l'!$A45&amp;'p&amp;l'!J$34,logs!$W:$W)+AP45</f>
        <v>-9794.4600000000501</v>
      </c>
      <c r="K45" s="57">
        <f ca="1">SUMIF(logs!$M:$M,'p&amp;l'!$A45&amp;'p&amp;l'!K$34,logs!$W:$W)+AQ45</f>
        <v>0</v>
      </c>
      <c r="L45" s="57">
        <f ca="1">SUMIF(logs!$M:$M,'p&amp;l'!$A45&amp;'p&amp;l'!L$34,logs!$W:$W)+AR45</f>
        <v>0</v>
      </c>
      <c r="M45" s="57">
        <f ca="1">SUMIF(logs!$M:$M,'p&amp;l'!$A45&amp;'p&amp;l'!M$34,logs!$W:$W)+AS45</f>
        <v>0</v>
      </c>
      <c r="N45" s="57">
        <f ca="1">SUMIF(logs!$M:$M,'p&amp;l'!$A45&amp;'p&amp;l'!N$34,logs!$W:$W)+AT45</f>
        <v>0</v>
      </c>
      <c r="O45" s="58">
        <f t="shared" ca="1" si="6"/>
        <v>82676.679999999978</v>
      </c>
      <c r="Q45" s="44" t="s">
        <v>30</v>
      </c>
      <c r="R45" s="57">
        <f ca="1">B45-SUMIF(logs!$M:$M,'p&amp;l'!$Q45&amp;'p&amp;l'!R$34,logs!$X:$X)</f>
        <v>0</v>
      </c>
      <c r="S45" s="57">
        <f ca="1">C45-SUMIF(logs!$M:$M,'p&amp;l'!$Q45&amp;'p&amp;l'!S$34,logs!$X:$X)</f>
        <v>0</v>
      </c>
      <c r="T45" s="57">
        <f ca="1">D45-SUMIF(logs!$M:$M,'p&amp;l'!$Q45&amp;'p&amp;l'!T$34,logs!$X:$X)</f>
        <v>0</v>
      </c>
      <c r="U45" s="57">
        <f ca="1">E45-SUMIF(logs!$M:$M,'p&amp;l'!$Q45&amp;'p&amp;l'!U$34,logs!$X:$X)</f>
        <v>0</v>
      </c>
      <c r="V45" s="57">
        <f ca="1">F45-SUMIF(logs!$M:$M,'p&amp;l'!$Q45&amp;'p&amp;l'!V$34,logs!$X:$X)</f>
        <v>36971.139999999781</v>
      </c>
      <c r="W45" s="57">
        <f ca="1">G45-SUMIF(logs!$M:$M,'p&amp;l'!$Q45&amp;'p&amp;l'!W$34,logs!$X:$X)</f>
        <v>0</v>
      </c>
      <c r="X45" s="57">
        <f ca="1">H45-SUMIF(logs!$M:$M,'p&amp;l'!$Q45&amp;'p&amp;l'!X$34,logs!$X:$X)</f>
        <v>0</v>
      </c>
      <c r="Y45" s="57">
        <f ca="1">I45-SUMIF(logs!$M:$M,'p&amp;l'!$Q45&amp;'p&amp;l'!Y$34,logs!$X:$X)</f>
        <v>0</v>
      </c>
      <c r="Z45" s="57">
        <f ca="1">J45-SUMIF(logs!$M:$M,'p&amp;l'!$Q45&amp;'p&amp;l'!Z$34,logs!$X:$X)</f>
        <v>-17044.460000000028</v>
      </c>
      <c r="AA45" s="57">
        <f ca="1">K45-SUMIF(logs!$M:$M,'p&amp;l'!$Q45&amp;'p&amp;l'!AA$34,logs!$X:$X)</f>
        <v>0</v>
      </c>
      <c r="AB45" s="57">
        <f ca="1">L45-SUMIF(logs!$M:$M,'p&amp;l'!$Q45&amp;'p&amp;l'!AB$34,logs!$X:$X)</f>
        <v>0</v>
      </c>
      <c r="AC45" s="57">
        <f ca="1">M45-SUMIF(logs!$M:$M,'p&amp;l'!$Q45&amp;'p&amp;l'!AC$34,logs!$X:$X)</f>
        <v>0</v>
      </c>
      <c r="AD45" s="57">
        <f ca="1">N45-SUMIF(logs!$M:$M,'p&amp;l'!$Q45&amp;'p&amp;l'!AD$34,logs!$X:$X)</f>
        <v>0</v>
      </c>
      <c r="AE45" s="58">
        <f t="shared" ca="1" si="7"/>
        <v>19926.679999999753</v>
      </c>
      <c r="AG45" s="44" t="s">
        <v>30</v>
      </c>
      <c r="AH45" s="57">
        <f ca="1">-SUMIFS(logs!$R:$R,logs!$M:$M,'p&amp;l'!$AG45&amp;'p&amp;l'!AH$34,logs!$A:$A,"&lt;="&amp;assumptions!$C$2)</f>
        <v>0</v>
      </c>
      <c r="AI45" s="57">
        <f ca="1">-SUMIFS(logs!$R:$R,logs!$M:$M,'p&amp;l'!$AG45&amp;'p&amp;l'!AI$34,logs!$A:$A,"&lt;="&amp;assumptions!$C$2)</f>
        <v>0</v>
      </c>
      <c r="AJ45" s="57">
        <f ca="1">-SUMIFS(logs!$R:$R,logs!$M:$M,'p&amp;l'!$AG45&amp;'p&amp;l'!AJ$34,logs!$A:$A,"&lt;="&amp;assumptions!$C$2)</f>
        <v>0</v>
      </c>
      <c r="AK45" s="57">
        <f ca="1">-SUMIFS(logs!$R:$R,logs!$M:$M,'p&amp;l'!$AG45&amp;'p&amp;l'!AK$34,logs!$A:$A,"&lt;="&amp;assumptions!$C$2)</f>
        <v>0</v>
      </c>
      <c r="AL45" s="57">
        <f ca="1">-SUMIFS(logs!$R:$R,logs!$M:$M,'p&amp;l'!$AG45&amp;'p&amp;l'!AL$34,logs!$A:$A,"&lt;="&amp;assumptions!$C$2)</f>
        <v>-28.86</v>
      </c>
      <c r="AM45" s="57">
        <f ca="1">-SUMIFS(logs!$R:$R,logs!$M:$M,'p&amp;l'!$AG45&amp;'p&amp;l'!AM$34,logs!$A:$A,"&lt;="&amp;assumptions!$C$2)</f>
        <v>0</v>
      </c>
      <c r="AN45" s="57">
        <f ca="1">-SUMIFS(logs!$R:$R,logs!$M:$M,'p&amp;l'!$AG45&amp;'p&amp;l'!AN$34,logs!$A:$A,"&lt;="&amp;assumptions!$C$2)</f>
        <v>0</v>
      </c>
      <c r="AO45" s="57">
        <f ca="1">-SUMIFS(logs!$R:$R,logs!$M:$M,'p&amp;l'!$AG45&amp;'p&amp;l'!AO$34,logs!$A:$A,"&lt;="&amp;assumptions!$C$2)</f>
        <v>0</v>
      </c>
      <c r="AP45" s="57">
        <f ca="1">-SUMIFS(logs!$R:$R,logs!$M:$M,'p&amp;l'!$AG45&amp;'p&amp;l'!AP$34,logs!$A:$A,"&lt;="&amp;assumptions!$C$2)</f>
        <v>-44.46</v>
      </c>
      <c r="AQ45" s="57">
        <f ca="1">-SUMIFS(logs!$R:$R,logs!$M:$M,'p&amp;l'!$AG45&amp;'p&amp;l'!AQ$34,logs!$A:$A,"&lt;="&amp;assumptions!$C$2)</f>
        <v>0</v>
      </c>
      <c r="AR45" s="57">
        <f ca="1">-SUMIFS(logs!$R:$R,logs!$M:$M,'p&amp;l'!$AG45&amp;'p&amp;l'!AR$34,logs!$A:$A,"&lt;="&amp;assumptions!$C$2)</f>
        <v>0</v>
      </c>
      <c r="AS45" s="57">
        <f ca="1">-SUMIFS(logs!$R:$R,logs!$M:$M,'p&amp;l'!$AG45&amp;'p&amp;l'!AS$34,logs!$A:$A,"&lt;="&amp;assumptions!$C$2)</f>
        <v>0</v>
      </c>
      <c r="AT45" s="57">
        <f ca="1">-SUMIFS(logs!$R:$R,logs!$M:$M,'p&amp;l'!$AG45&amp;'p&amp;l'!AT$34,logs!$A:$A,"&lt;="&amp;assumptions!$C$2)</f>
        <v>0</v>
      </c>
      <c r="AU45" s="58">
        <f t="shared" ca="1" si="8"/>
        <v>-73.319999999999993</v>
      </c>
    </row>
    <row r="46" spans="1:47" x14ac:dyDescent="0.35">
      <c r="A46" s="44" t="s">
        <v>33</v>
      </c>
      <c r="B46" s="57">
        <f ca="1">SUMIF(logs!$M:$M,'p&amp;l'!$A46&amp;'p&amp;l'!B$34,logs!$W:$W)+AH46</f>
        <v>38976.599999999904</v>
      </c>
      <c r="C46" s="57">
        <f ca="1">SUMIF(logs!$M:$M,'p&amp;l'!$A46&amp;'p&amp;l'!C$34,logs!$W:$W)+AI46</f>
        <v>0</v>
      </c>
      <c r="D46" s="57">
        <f ca="1">SUMIF(logs!$M:$M,'p&amp;l'!$A46&amp;'p&amp;l'!D$34,logs!$W:$W)+AJ46</f>
        <v>-100523.40000000014</v>
      </c>
      <c r="E46" s="57">
        <f ca="1">SUMIF(logs!$M:$M,'p&amp;l'!$A46&amp;'p&amp;l'!E$34,logs!$W:$W)+AK46</f>
        <v>0</v>
      </c>
      <c r="F46" s="57">
        <f ca="1">SUMIF(logs!$M:$M,'p&amp;l'!$A46&amp;'p&amp;l'!F$34,logs!$W:$W)+AL46</f>
        <v>0</v>
      </c>
      <c r="G46" s="57">
        <f ca="1">SUMIF(logs!$M:$M,'p&amp;l'!$A46&amp;'p&amp;l'!G$34,logs!$W:$W)+AM46</f>
        <v>0</v>
      </c>
      <c r="H46" s="57">
        <f ca="1">SUMIF(logs!$M:$M,'p&amp;l'!$A46&amp;'p&amp;l'!H$34,logs!$W:$W)+AN46</f>
        <v>0</v>
      </c>
      <c r="I46" s="57">
        <f ca="1">SUMIF(logs!$M:$M,'p&amp;l'!$A46&amp;'p&amp;l'!I$34,logs!$W:$W)+AO46</f>
        <v>0</v>
      </c>
      <c r="J46" s="57">
        <f ca="1">SUMIF(logs!$M:$M,'p&amp;l'!$A46&amp;'p&amp;l'!J$34,logs!$W:$W)+AP46</f>
        <v>0</v>
      </c>
      <c r="K46" s="57">
        <f ca="1">SUMIF(logs!$M:$M,'p&amp;l'!$A46&amp;'p&amp;l'!K$34,logs!$W:$W)+AQ46</f>
        <v>0</v>
      </c>
      <c r="L46" s="57">
        <f ca="1">SUMIF(logs!$M:$M,'p&amp;l'!$A46&amp;'p&amp;l'!L$34,logs!$W:$W)+AR46</f>
        <v>0</v>
      </c>
      <c r="M46" s="57">
        <f ca="1">SUMIF(logs!$M:$M,'p&amp;l'!$A46&amp;'p&amp;l'!M$34,logs!$W:$W)+AS46</f>
        <v>0</v>
      </c>
      <c r="N46" s="57">
        <f ca="1">SUMIF(logs!$M:$M,'p&amp;l'!$A46&amp;'p&amp;l'!N$34,logs!$W:$W)+AT46</f>
        <v>0</v>
      </c>
      <c r="O46" s="58">
        <f t="shared" ca="1" si="6"/>
        <v>-61546.800000000236</v>
      </c>
      <c r="Q46" s="44" t="s">
        <v>33</v>
      </c>
      <c r="R46" s="57">
        <f ca="1">B46-SUMIF(logs!$M:$M,'p&amp;l'!$Q46&amp;'p&amp;l'!R$34,logs!$X:$X)</f>
        <v>-60023.400000000111</v>
      </c>
      <c r="S46" s="57">
        <f ca="1">C46-SUMIF(logs!$M:$M,'p&amp;l'!$Q46&amp;'p&amp;l'!S$34,logs!$X:$X)</f>
        <v>0</v>
      </c>
      <c r="T46" s="57">
        <f ca="1">D46-SUMIF(logs!$M:$M,'p&amp;l'!$Q46&amp;'p&amp;l'!T$34,logs!$X:$X)</f>
        <v>-85523.4</v>
      </c>
      <c r="U46" s="57">
        <f ca="1">E46-SUMIF(logs!$M:$M,'p&amp;l'!$Q46&amp;'p&amp;l'!U$34,logs!$X:$X)</f>
        <v>0</v>
      </c>
      <c r="V46" s="57">
        <f ca="1">F46-SUMIF(logs!$M:$M,'p&amp;l'!$Q46&amp;'p&amp;l'!V$34,logs!$X:$X)</f>
        <v>0</v>
      </c>
      <c r="W46" s="57">
        <f ca="1">G46-SUMIF(logs!$M:$M,'p&amp;l'!$Q46&amp;'p&amp;l'!W$34,logs!$X:$X)</f>
        <v>0</v>
      </c>
      <c r="X46" s="57">
        <f ca="1">H46-SUMIF(logs!$M:$M,'p&amp;l'!$Q46&amp;'p&amp;l'!X$34,logs!$X:$X)</f>
        <v>0</v>
      </c>
      <c r="Y46" s="57">
        <f ca="1">I46-SUMIF(logs!$M:$M,'p&amp;l'!$Q46&amp;'p&amp;l'!Y$34,logs!$X:$X)</f>
        <v>0</v>
      </c>
      <c r="Z46" s="57">
        <f ca="1">J46-SUMIF(logs!$M:$M,'p&amp;l'!$Q46&amp;'p&amp;l'!Z$34,logs!$X:$X)</f>
        <v>0</v>
      </c>
      <c r="AA46" s="57">
        <f ca="1">K46-SUMIF(logs!$M:$M,'p&amp;l'!$Q46&amp;'p&amp;l'!AA$34,logs!$X:$X)</f>
        <v>0</v>
      </c>
      <c r="AB46" s="57">
        <f ca="1">L46-SUMIF(logs!$M:$M,'p&amp;l'!$Q46&amp;'p&amp;l'!AB$34,logs!$X:$X)</f>
        <v>0</v>
      </c>
      <c r="AC46" s="57">
        <f ca="1">M46-SUMIF(logs!$M:$M,'p&amp;l'!$Q46&amp;'p&amp;l'!AC$34,logs!$X:$X)</f>
        <v>0</v>
      </c>
      <c r="AD46" s="57">
        <f ca="1">N46-SUMIF(logs!$M:$M,'p&amp;l'!$Q46&amp;'p&amp;l'!AD$34,logs!$X:$X)</f>
        <v>0</v>
      </c>
      <c r="AE46" s="58">
        <f t="shared" ca="1" si="7"/>
        <v>-145546.8000000001</v>
      </c>
      <c r="AG46" s="44" t="s">
        <v>33</v>
      </c>
      <c r="AH46" s="57">
        <f ca="1">-SUMIFS(logs!$R:$R,logs!$M:$M,'p&amp;l'!$AG46&amp;'p&amp;l'!AH$34,logs!$A:$A,"&lt;="&amp;assumptions!$C$2)</f>
        <v>-23.400000000000002</v>
      </c>
      <c r="AI46" s="57">
        <f ca="1">-SUMIFS(logs!$R:$R,logs!$M:$M,'p&amp;l'!$AG46&amp;'p&amp;l'!AI$34,logs!$A:$A,"&lt;="&amp;assumptions!$C$2)</f>
        <v>0</v>
      </c>
      <c r="AJ46" s="57">
        <f ca="1">-SUMIFS(logs!$R:$R,logs!$M:$M,'p&amp;l'!$AG46&amp;'p&amp;l'!AJ$34,logs!$A:$A,"&lt;="&amp;assumptions!$C$2)</f>
        <v>-23.400000000000002</v>
      </c>
      <c r="AK46" s="57">
        <f ca="1">-SUMIFS(logs!$R:$R,logs!$M:$M,'p&amp;l'!$AG46&amp;'p&amp;l'!AK$34,logs!$A:$A,"&lt;="&amp;assumptions!$C$2)</f>
        <v>0</v>
      </c>
      <c r="AL46" s="57">
        <f ca="1">-SUMIFS(logs!$R:$R,logs!$M:$M,'p&amp;l'!$AG46&amp;'p&amp;l'!AL$34,logs!$A:$A,"&lt;="&amp;assumptions!$C$2)</f>
        <v>0</v>
      </c>
      <c r="AM46" s="57">
        <f ca="1">-SUMIFS(logs!$R:$R,logs!$M:$M,'p&amp;l'!$AG46&amp;'p&amp;l'!AM$34,logs!$A:$A,"&lt;="&amp;assumptions!$C$2)</f>
        <v>0</v>
      </c>
      <c r="AN46" s="57">
        <f ca="1">-SUMIFS(logs!$R:$R,logs!$M:$M,'p&amp;l'!$AG46&amp;'p&amp;l'!AN$34,logs!$A:$A,"&lt;="&amp;assumptions!$C$2)</f>
        <v>0</v>
      </c>
      <c r="AO46" s="57">
        <f ca="1">-SUMIFS(logs!$R:$R,logs!$M:$M,'p&amp;l'!$AG46&amp;'p&amp;l'!AO$34,logs!$A:$A,"&lt;="&amp;assumptions!$C$2)</f>
        <v>0</v>
      </c>
      <c r="AP46" s="57">
        <f ca="1">-SUMIFS(logs!$R:$R,logs!$M:$M,'p&amp;l'!$AG46&amp;'p&amp;l'!AP$34,logs!$A:$A,"&lt;="&amp;assumptions!$C$2)</f>
        <v>0</v>
      </c>
      <c r="AQ46" s="57">
        <f ca="1">-SUMIFS(logs!$R:$R,logs!$M:$M,'p&amp;l'!$AG46&amp;'p&amp;l'!AQ$34,logs!$A:$A,"&lt;="&amp;assumptions!$C$2)</f>
        <v>0</v>
      </c>
      <c r="AR46" s="57">
        <f ca="1">-SUMIFS(logs!$R:$R,logs!$M:$M,'p&amp;l'!$AG46&amp;'p&amp;l'!AR$34,logs!$A:$A,"&lt;="&amp;assumptions!$C$2)</f>
        <v>0</v>
      </c>
      <c r="AS46" s="57">
        <f ca="1">-SUMIFS(logs!$R:$R,logs!$M:$M,'p&amp;l'!$AG46&amp;'p&amp;l'!AS$34,logs!$A:$A,"&lt;="&amp;assumptions!$C$2)</f>
        <v>0</v>
      </c>
      <c r="AT46" s="57">
        <f ca="1">-SUMIFS(logs!$R:$R,logs!$M:$M,'p&amp;l'!$AG46&amp;'p&amp;l'!AT$34,logs!$A:$A,"&lt;="&amp;assumptions!$C$2)</f>
        <v>0</v>
      </c>
      <c r="AU46" s="58">
        <f t="shared" ca="1" si="8"/>
        <v>-46.800000000000004</v>
      </c>
    </row>
    <row r="47" spans="1:47" x14ac:dyDescent="0.35">
      <c r="A47" s="44" t="s">
        <v>36</v>
      </c>
      <c r="B47" s="57">
        <f ca="1">SUMIF(logs!$M:$M,'p&amp;l'!$A47&amp;'p&amp;l'!B$34,logs!$W:$W)+AH47</f>
        <v>0</v>
      </c>
      <c r="C47" s="57">
        <f ca="1">SUMIF(logs!$M:$M,'p&amp;l'!$A47&amp;'p&amp;l'!C$34,logs!$W:$W)+AI47</f>
        <v>0</v>
      </c>
      <c r="D47" s="57">
        <f ca="1">SUMIF(logs!$M:$M,'p&amp;l'!$A47&amp;'p&amp;l'!D$34,logs!$W:$W)+AJ47</f>
        <v>0</v>
      </c>
      <c r="E47" s="57">
        <f ca="1">SUMIF(logs!$M:$M,'p&amp;l'!$A47&amp;'p&amp;l'!E$34,logs!$W:$W)+AK47</f>
        <v>0</v>
      </c>
      <c r="F47" s="57">
        <f ca="1">SUMIF(logs!$M:$M,'p&amp;l'!$A47&amp;'p&amp;l'!F$34,logs!$W:$W)+AL47</f>
        <v>0</v>
      </c>
      <c r="G47" s="57">
        <f ca="1">SUMIF(logs!$M:$M,'p&amp;l'!$A47&amp;'p&amp;l'!G$34,logs!$W:$W)+AM47</f>
        <v>0</v>
      </c>
      <c r="H47" s="57">
        <f ca="1">SUMIF(logs!$M:$M,'p&amp;l'!$A47&amp;'p&amp;l'!H$34,logs!$W:$W)+AN47</f>
        <v>0</v>
      </c>
      <c r="I47" s="57">
        <f ca="1">SUMIF(logs!$M:$M,'p&amp;l'!$A47&amp;'p&amp;l'!I$34,logs!$W:$W)+AO47</f>
        <v>0</v>
      </c>
      <c r="J47" s="57">
        <f ca="1">SUMIF(logs!$M:$M,'p&amp;l'!$A47&amp;'p&amp;l'!J$34,logs!$W:$W)+AP47</f>
        <v>0</v>
      </c>
      <c r="K47" s="57">
        <f ca="1">SUMIF(logs!$M:$M,'p&amp;l'!$A47&amp;'p&amp;l'!K$34,logs!$W:$W)+AQ47</f>
        <v>0</v>
      </c>
      <c r="L47" s="57">
        <f ca="1">SUMIF(logs!$M:$M,'p&amp;l'!$A47&amp;'p&amp;l'!L$34,logs!$W:$W)+AR47</f>
        <v>0</v>
      </c>
      <c r="M47" s="57">
        <f ca="1">SUMIF(logs!$M:$M,'p&amp;l'!$A47&amp;'p&amp;l'!M$34,logs!$W:$W)+AS47</f>
        <v>0</v>
      </c>
      <c r="N47" s="57">
        <f ca="1">SUMIF(logs!$M:$M,'p&amp;l'!$A47&amp;'p&amp;l'!N$34,logs!$W:$W)+AT47</f>
        <v>0</v>
      </c>
      <c r="O47" s="58">
        <f t="shared" ca="1" si="6"/>
        <v>0</v>
      </c>
      <c r="Q47" s="44" t="s">
        <v>36</v>
      </c>
      <c r="R47" s="57">
        <f ca="1">B47-SUMIF(logs!$M:$M,'p&amp;l'!$Q47&amp;'p&amp;l'!R$34,logs!$X:$X)</f>
        <v>0</v>
      </c>
      <c r="S47" s="57">
        <f ca="1">C47-SUMIF(logs!$M:$M,'p&amp;l'!$Q47&amp;'p&amp;l'!S$34,logs!$X:$X)</f>
        <v>0</v>
      </c>
      <c r="T47" s="57">
        <f ca="1">D47-SUMIF(logs!$M:$M,'p&amp;l'!$Q47&amp;'p&amp;l'!T$34,logs!$X:$X)</f>
        <v>0</v>
      </c>
      <c r="U47" s="57">
        <f ca="1">E47-SUMIF(logs!$M:$M,'p&amp;l'!$Q47&amp;'p&amp;l'!U$34,logs!$X:$X)</f>
        <v>0</v>
      </c>
      <c r="V47" s="57">
        <f ca="1">F47-SUMIF(logs!$M:$M,'p&amp;l'!$Q47&amp;'p&amp;l'!V$34,logs!$X:$X)</f>
        <v>0</v>
      </c>
      <c r="W47" s="57">
        <f ca="1">G47-SUMIF(logs!$M:$M,'p&amp;l'!$Q47&amp;'p&amp;l'!W$34,logs!$X:$X)</f>
        <v>0</v>
      </c>
      <c r="X47" s="57">
        <f ca="1">H47-SUMIF(logs!$M:$M,'p&amp;l'!$Q47&amp;'p&amp;l'!X$34,logs!$X:$X)</f>
        <v>0</v>
      </c>
      <c r="Y47" s="57">
        <f ca="1">I47-SUMIF(logs!$M:$M,'p&amp;l'!$Q47&amp;'p&amp;l'!Y$34,logs!$X:$X)</f>
        <v>0</v>
      </c>
      <c r="Z47" s="57">
        <f ca="1">J47-SUMIF(logs!$M:$M,'p&amp;l'!$Q47&amp;'p&amp;l'!Z$34,logs!$X:$X)</f>
        <v>0</v>
      </c>
      <c r="AA47" s="57">
        <f ca="1">K47-SUMIF(logs!$M:$M,'p&amp;l'!$Q47&amp;'p&amp;l'!AA$34,logs!$X:$X)</f>
        <v>0</v>
      </c>
      <c r="AB47" s="57">
        <f ca="1">L47-SUMIF(logs!$M:$M,'p&amp;l'!$Q47&amp;'p&amp;l'!AB$34,logs!$X:$X)</f>
        <v>0</v>
      </c>
      <c r="AC47" s="57">
        <f ca="1">M47-SUMIF(logs!$M:$M,'p&amp;l'!$Q47&amp;'p&amp;l'!AC$34,logs!$X:$X)</f>
        <v>0</v>
      </c>
      <c r="AD47" s="57">
        <f ca="1">N47-SUMIF(logs!$M:$M,'p&amp;l'!$Q47&amp;'p&amp;l'!AD$34,logs!$X:$X)</f>
        <v>0</v>
      </c>
      <c r="AE47" s="58">
        <f t="shared" ca="1" si="7"/>
        <v>0</v>
      </c>
      <c r="AG47" s="44" t="s">
        <v>36</v>
      </c>
      <c r="AH47" s="57">
        <f ca="1">-SUMIFS(logs!$R:$R,logs!$M:$M,'p&amp;l'!$AG47&amp;'p&amp;l'!AH$34,logs!$A:$A,"&lt;="&amp;assumptions!$C$2)</f>
        <v>0</v>
      </c>
      <c r="AI47" s="57">
        <f ca="1">-SUMIFS(logs!$R:$R,logs!$M:$M,'p&amp;l'!$AG47&amp;'p&amp;l'!AI$34,logs!$A:$A,"&lt;="&amp;assumptions!$C$2)</f>
        <v>0</v>
      </c>
      <c r="AJ47" s="57">
        <f ca="1">-SUMIFS(logs!$R:$R,logs!$M:$M,'p&amp;l'!$AG47&amp;'p&amp;l'!AJ$34,logs!$A:$A,"&lt;="&amp;assumptions!$C$2)</f>
        <v>0</v>
      </c>
      <c r="AK47" s="57">
        <f ca="1">-SUMIFS(logs!$R:$R,logs!$M:$M,'p&amp;l'!$AG47&amp;'p&amp;l'!AK$34,logs!$A:$A,"&lt;="&amp;assumptions!$C$2)</f>
        <v>0</v>
      </c>
      <c r="AL47" s="57">
        <f ca="1">-SUMIFS(logs!$R:$R,logs!$M:$M,'p&amp;l'!$AG47&amp;'p&amp;l'!AL$34,logs!$A:$A,"&lt;="&amp;assumptions!$C$2)</f>
        <v>0</v>
      </c>
      <c r="AM47" s="57">
        <f ca="1">-SUMIFS(logs!$R:$R,logs!$M:$M,'p&amp;l'!$AG47&amp;'p&amp;l'!AM$34,logs!$A:$A,"&lt;="&amp;assumptions!$C$2)</f>
        <v>0</v>
      </c>
      <c r="AN47" s="57">
        <f ca="1">-SUMIFS(logs!$R:$R,logs!$M:$M,'p&amp;l'!$AG47&amp;'p&amp;l'!AN$34,logs!$A:$A,"&lt;="&amp;assumptions!$C$2)</f>
        <v>0</v>
      </c>
      <c r="AO47" s="57">
        <f ca="1">-SUMIFS(logs!$R:$R,logs!$M:$M,'p&amp;l'!$AG47&amp;'p&amp;l'!AO$34,logs!$A:$A,"&lt;="&amp;assumptions!$C$2)</f>
        <v>0</v>
      </c>
      <c r="AP47" s="57">
        <f ca="1">-SUMIFS(logs!$R:$R,logs!$M:$M,'p&amp;l'!$AG47&amp;'p&amp;l'!AP$34,logs!$A:$A,"&lt;="&amp;assumptions!$C$2)</f>
        <v>0</v>
      </c>
      <c r="AQ47" s="57">
        <f ca="1">-SUMIFS(logs!$R:$R,logs!$M:$M,'p&amp;l'!$AG47&amp;'p&amp;l'!AQ$34,logs!$A:$A,"&lt;="&amp;assumptions!$C$2)</f>
        <v>0</v>
      </c>
      <c r="AR47" s="57">
        <f ca="1">-SUMIFS(logs!$R:$R,logs!$M:$M,'p&amp;l'!$AG47&amp;'p&amp;l'!AR$34,logs!$A:$A,"&lt;="&amp;assumptions!$C$2)</f>
        <v>0</v>
      </c>
      <c r="AS47" s="57">
        <f ca="1">-SUMIFS(logs!$R:$R,logs!$M:$M,'p&amp;l'!$AG47&amp;'p&amp;l'!AS$34,logs!$A:$A,"&lt;="&amp;assumptions!$C$2)</f>
        <v>0</v>
      </c>
      <c r="AT47" s="57">
        <f ca="1">-SUMIFS(logs!$R:$R,logs!$M:$M,'p&amp;l'!$AG47&amp;'p&amp;l'!AT$34,logs!$A:$A,"&lt;="&amp;assumptions!$C$2)</f>
        <v>0</v>
      </c>
      <c r="AU47" s="58">
        <f t="shared" ca="1" si="8"/>
        <v>0</v>
      </c>
    </row>
    <row r="48" spans="1:47" x14ac:dyDescent="0.35">
      <c r="A48" s="45" t="s">
        <v>39</v>
      </c>
      <c r="B48" s="59">
        <f ca="1">SUMIF(logs!$M:$M,'p&amp;l'!$A48&amp;'p&amp;l'!B$34,logs!$W:$W)+AH48</f>
        <v>0</v>
      </c>
      <c r="C48" s="59">
        <f ca="1">SUMIF(logs!$M:$M,'p&amp;l'!$A48&amp;'p&amp;l'!C$34,logs!$W:$W)+AI48</f>
        <v>0</v>
      </c>
      <c r="D48" s="59">
        <f ca="1">SUMIF(logs!$M:$M,'p&amp;l'!$A48&amp;'p&amp;l'!D$34,logs!$W:$W)+AJ48</f>
        <v>0</v>
      </c>
      <c r="E48" s="59">
        <f ca="1">SUMIF(logs!$M:$M,'p&amp;l'!$A48&amp;'p&amp;l'!E$34,logs!$W:$W)+AK48</f>
        <v>0</v>
      </c>
      <c r="F48" s="59">
        <f ca="1">SUMIF(logs!$M:$M,'p&amp;l'!$A48&amp;'p&amp;l'!F$34,logs!$W:$W)+AL48</f>
        <v>-17519.499999999924</v>
      </c>
      <c r="G48" s="59">
        <f ca="1">SUMIF(logs!$M:$M,'p&amp;l'!$A48&amp;'p&amp;l'!G$34,logs!$W:$W)+AM48</f>
        <v>0</v>
      </c>
      <c r="H48" s="59">
        <f ca="1">SUMIF(logs!$M:$M,'p&amp;l'!$A48&amp;'p&amp;l'!H$34,logs!$W:$W)+AN48</f>
        <v>0</v>
      </c>
      <c r="I48" s="59">
        <f ca="1">SUMIF(logs!$M:$M,'p&amp;l'!$A48&amp;'p&amp;l'!I$34,logs!$W:$W)+AO48</f>
        <v>0</v>
      </c>
      <c r="J48" s="59">
        <f ca="1">SUMIF(logs!$M:$M,'p&amp;l'!$A48&amp;'p&amp;l'!J$34,logs!$W:$W)+AP48</f>
        <v>0</v>
      </c>
      <c r="K48" s="59">
        <f ca="1">SUMIF(logs!$M:$M,'p&amp;l'!$A48&amp;'p&amp;l'!K$34,logs!$W:$W)+AQ48</f>
        <v>26230.500000000022</v>
      </c>
      <c r="L48" s="59">
        <f ca="1">SUMIF(logs!$M:$M,'p&amp;l'!$A48&amp;'p&amp;l'!L$34,logs!$W:$W)+AR48</f>
        <v>0</v>
      </c>
      <c r="M48" s="59">
        <f ca="1">SUMIF(logs!$M:$M,'p&amp;l'!$A48&amp;'p&amp;l'!M$34,logs!$W:$W)+AS48</f>
        <v>0</v>
      </c>
      <c r="N48" s="59">
        <f ca="1">SUMIF(logs!$M:$M,'p&amp;l'!$A48&amp;'p&amp;l'!N$34,logs!$W:$W)+AT48</f>
        <v>0</v>
      </c>
      <c r="O48" s="60">
        <f t="shared" ca="1" si="6"/>
        <v>8711.0000000000982</v>
      </c>
      <c r="Q48" s="45" t="s">
        <v>39</v>
      </c>
      <c r="R48" s="59">
        <f ca="1">B48-SUMIF(logs!$M:$M,'p&amp;l'!$Q48&amp;'p&amp;l'!R$34,logs!$X:$X)</f>
        <v>0</v>
      </c>
      <c r="S48" s="59">
        <f ca="1">C48-SUMIF(logs!$M:$M,'p&amp;l'!$Q48&amp;'p&amp;l'!S$34,logs!$X:$X)</f>
        <v>0</v>
      </c>
      <c r="T48" s="59">
        <f ca="1">D48-SUMIF(logs!$M:$M,'p&amp;l'!$Q48&amp;'p&amp;l'!T$34,logs!$X:$X)</f>
        <v>0</v>
      </c>
      <c r="U48" s="59">
        <f ca="1">E48-SUMIF(logs!$M:$M,'p&amp;l'!$Q48&amp;'p&amp;l'!U$34,logs!$X:$X)</f>
        <v>0</v>
      </c>
      <c r="V48" s="59">
        <f ca="1">F48-SUMIF(logs!$M:$M,'p&amp;l'!$Q48&amp;'p&amp;l'!V$34,logs!$X:$X)</f>
        <v>24980.500000000047</v>
      </c>
      <c r="W48" s="59">
        <f ca="1">G48-SUMIF(logs!$M:$M,'p&amp;l'!$Q48&amp;'p&amp;l'!W$34,logs!$X:$X)</f>
        <v>0</v>
      </c>
      <c r="X48" s="59">
        <f ca="1">H48-SUMIF(logs!$M:$M,'p&amp;l'!$Q48&amp;'p&amp;l'!X$34,logs!$X:$X)</f>
        <v>0</v>
      </c>
      <c r="Y48" s="59">
        <f ca="1">I48-SUMIF(logs!$M:$M,'p&amp;l'!$Q48&amp;'p&amp;l'!Y$34,logs!$X:$X)</f>
        <v>0</v>
      </c>
      <c r="Z48" s="59">
        <f ca="1">J48-SUMIF(logs!$M:$M,'p&amp;l'!$Q48&amp;'p&amp;l'!Z$34,logs!$X:$X)</f>
        <v>0</v>
      </c>
      <c r="AA48" s="59">
        <f ca="1">K48-SUMIF(logs!$M:$M,'p&amp;l'!$Q48&amp;'p&amp;l'!AA$34,logs!$X:$X)</f>
        <v>33730.500000000051</v>
      </c>
      <c r="AB48" s="59">
        <f ca="1">L48-SUMIF(logs!$M:$M,'p&amp;l'!$Q48&amp;'p&amp;l'!AB$34,logs!$X:$X)</f>
        <v>0</v>
      </c>
      <c r="AC48" s="59">
        <f ca="1">M48-SUMIF(logs!$M:$M,'p&amp;l'!$Q48&amp;'p&amp;l'!AC$34,logs!$X:$X)</f>
        <v>0</v>
      </c>
      <c r="AD48" s="59">
        <f ca="1">N48-SUMIF(logs!$M:$M,'p&amp;l'!$Q48&amp;'p&amp;l'!AD$34,logs!$X:$X)</f>
        <v>0</v>
      </c>
      <c r="AE48" s="60">
        <f t="shared" ca="1" si="7"/>
        <v>58711.000000000102</v>
      </c>
      <c r="AG48" s="45" t="s">
        <v>39</v>
      </c>
      <c r="AH48" s="59">
        <f ca="1">-SUMIFS(logs!$R:$R,logs!$M:$M,'p&amp;l'!$AG48&amp;'p&amp;l'!AH$34,logs!$A:$A,"&lt;="&amp;assumptions!$C$2)</f>
        <v>0</v>
      </c>
      <c r="AI48" s="59">
        <f ca="1">-SUMIFS(logs!$R:$R,logs!$M:$M,'p&amp;l'!$AG48&amp;'p&amp;l'!AI$34,logs!$A:$A,"&lt;="&amp;assumptions!$C$2)</f>
        <v>0</v>
      </c>
      <c r="AJ48" s="59">
        <f ca="1">-SUMIFS(logs!$R:$R,logs!$M:$M,'p&amp;l'!$AG48&amp;'p&amp;l'!AJ$34,logs!$A:$A,"&lt;="&amp;assumptions!$C$2)</f>
        <v>0</v>
      </c>
      <c r="AK48" s="59">
        <f ca="1">-SUMIFS(logs!$R:$R,logs!$M:$M,'p&amp;l'!$AG48&amp;'p&amp;l'!AK$34,logs!$A:$A,"&lt;="&amp;assumptions!$C$2)</f>
        <v>0</v>
      </c>
      <c r="AL48" s="59">
        <f ca="1">-SUMIFS(logs!$R:$R,logs!$M:$M,'p&amp;l'!$AG48&amp;'p&amp;l'!AL$34,logs!$A:$A,"&lt;="&amp;assumptions!$C$2)</f>
        <v>-19.5</v>
      </c>
      <c r="AM48" s="59">
        <f ca="1">-SUMIFS(logs!$R:$R,logs!$M:$M,'p&amp;l'!$AG48&amp;'p&amp;l'!AM$34,logs!$A:$A,"&lt;="&amp;assumptions!$C$2)</f>
        <v>0</v>
      </c>
      <c r="AN48" s="59">
        <f ca="1">-SUMIFS(logs!$R:$R,logs!$M:$M,'p&amp;l'!$AG48&amp;'p&amp;l'!AN$34,logs!$A:$A,"&lt;="&amp;assumptions!$C$2)</f>
        <v>0</v>
      </c>
      <c r="AO48" s="59">
        <f ca="1">-SUMIFS(logs!$R:$R,logs!$M:$M,'p&amp;l'!$AG48&amp;'p&amp;l'!AO$34,logs!$A:$A,"&lt;="&amp;assumptions!$C$2)</f>
        <v>0</v>
      </c>
      <c r="AP48" s="59">
        <f ca="1">-SUMIFS(logs!$R:$R,logs!$M:$M,'p&amp;l'!$AG48&amp;'p&amp;l'!AP$34,logs!$A:$A,"&lt;="&amp;assumptions!$C$2)</f>
        <v>0</v>
      </c>
      <c r="AQ48" s="59">
        <f ca="1">-SUMIFS(logs!$R:$R,logs!$M:$M,'p&amp;l'!$AG48&amp;'p&amp;l'!AQ$34,logs!$A:$A,"&lt;="&amp;assumptions!$C$2)</f>
        <v>-19.5</v>
      </c>
      <c r="AR48" s="59">
        <f ca="1">-SUMIFS(logs!$R:$R,logs!$M:$M,'p&amp;l'!$AG48&amp;'p&amp;l'!AR$34,logs!$A:$A,"&lt;="&amp;assumptions!$C$2)</f>
        <v>0</v>
      </c>
      <c r="AS48" s="59">
        <f ca="1">-SUMIFS(logs!$R:$R,logs!$M:$M,'p&amp;l'!$AG48&amp;'p&amp;l'!AS$34,logs!$A:$A,"&lt;="&amp;assumptions!$C$2)</f>
        <v>0</v>
      </c>
      <c r="AT48" s="59">
        <f ca="1">-SUMIFS(logs!$R:$R,logs!$M:$M,'p&amp;l'!$AG48&amp;'p&amp;l'!AT$34,logs!$A:$A,"&lt;="&amp;assumptions!$C$2)</f>
        <v>0</v>
      </c>
      <c r="AU48" s="60">
        <f t="shared" ca="1" si="8"/>
        <v>-39</v>
      </c>
    </row>
    <row r="49" spans="1:47" x14ac:dyDescent="0.35">
      <c r="A49" s="56" t="s">
        <v>63</v>
      </c>
      <c r="B49" s="61">
        <f ca="1">SUMIF(logs!$M:$M,'p&amp;l'!$A49&amp;'p&amp;l'!B$34,logs!$W:$W)+AH49</f>
        <v>0</v>
      </c>
      <c r="C49" s="61">
        <f ca="1">SUMIF(logs!$M:$M,'p&amp;l'!$A49&amp;'p&amp;l'!C$34,logs!$W:$W)+AI49</f>
        <v>0</v>
      </c>
      <c r="D49" s="61">
        <f ca="1">SUMIF(logs!$M:$M,'p&amp;l'!$A49&amp;'p&amp;l'!D$34,logs!$W:$W)+AJ49</f>
        <v>0</v>
      </c>
      <c r="E49" s="61">
        <f ca="1">SUMIF(logs!$M:$M,'p&amp;l'!$A49&amp;'p&amp;l'!E$34,logs!$W:$W)+AK49</f>
        <v>87472.000000000087</v>
      </c>
      <c r="F49" s="61">
        <f ca="1">SUMIF(logs!$M:$M,'p&amp;l'!$A49&amp;'p&amp;l'!F$34,logs!$W:$W)+AL49</f>
        <v>0</v>
      </c>
      <c r="G49" s="61">
        <f ca="1">SUMIF(logs!$M:$M,'p&amp;l'!$A49&amp;'p&amp;l'!G$34,logs!$W:$W)+AM49</f>
        <v>0</v>
      </c>
      <c r="H49" s="61">
        <f ca="1">SUMIF(logs!$M:$M,'p&amp;l'!$A49&amp;'p&amp;l'!H$34,logs!$W:$W)+AN49</f>
        <v>0</v>
      </c>
      <c r="I49" s="61">
        <f ca="1">SUMIF(logs!$M:$M,'p&amp;l'!$A49&amp;'p&amp;l'!I$34,logs!$W:$W)+AO49</f>
        <v>0</v>
      </c>
      <c r="J49" s="61">
        <f ca="1">SUMIF(logs!$M:$M,'p&amp;l'!$A49&amp;'p&amp;l'!J$34,logs!$W:$W)+AP49</f>
        <v>0</v>
      </c>
      <c r="K49" s="61">
        <f ca="1">SUMIF(logs!$M:$M,'p&amp;l'!$A49&amp;'p&amp;l'!K$34,logs!$W:$W)+AQ49</f>
        <v>7472.0000000000409</v>
      </c>
      <c r="L49" s="61">
        <f ca="1">SUMIF(logs!$M:$M,'p&amp;l'!$A49&amp;'p&amp;l'!L$34,logs!$W:$W)+AR49</f>
        <v>0</v>
      </c>
      <c r="M49" s="61">
        <f ca="1">SUMIF(logs!$M:$M,'p&amp;l'!$A49&amp;'p&amp;l'!M$34,logs!$W:$W)+AS49</f>
        <v>0</v>
      </c>
      <c r="N49" s="61">
        <f ca="1">SUMIF(logs!$M:$M,'p&amp;l'!$A49&amp;'p&amp;l'!N$34,logs!$W:$W)+AT49</f>
        <v>0</v>
      </c>
      <c r="O49" s="62">
        <f t="shared" ca="1" si="6"/>
        <v>94944.000000000131</v>
      </c>
      <c r="Q49" s="56" t="s">
        <v>63</v>
      </c>
      <c r="R49" s="61">
        <f ca="1">B49-SUMIF(logs!$M:$M,'p&amp;l'!$Q49&amp;'p&amp;l'!R$34,logs!$X:$X)</f>
        <v>0</v>
      </c>
      <c r="S49" s="61">
        <f ca="1">C49-SUMIF(logs!$M:$M,'p&amp;l'!$Q49&amp;'p&amp;l'!S$34,logs!$X:$X)</f>
        <v>0</v>
      </c>
      <c r="T49" s="61">
        <f ca="1">D49-SUMIF(logs!$M:$M,'p&amp;l'!$Q49&amp;'p&amp;l'!T$34,logs!$X:$X)</f>
        <v>0</v>
      </c>
      <c r="U49" s="61">
        <f ca="1">E49-SUMIF(logs!$M:$M,'p&amp;l'!$Q49&amp;'p&amp;l'!U$34,logs!$X:$X)</f>
        <v>-50028.000000000087</v>
      </c>
      <c r="V49" s="61">
        <f ca="1">F49-SUMIF(logs!$M:$M,'p&amp;l'!$Q49&amp;'p&amp;l'!V$34,logs!$X:$X)</f>
        <v>0</v>
      </c>
      <c r="W49" s="61">
        <f ca="1">G49-SUMIF(logs!$M:$M,'p&amp;l'!$Q49&amp;'p&amp;l'!W$34,logs!$X:$X)</f>
        <v>0</v>
      </c>
      <c r="X49" s="61">
        <f ca="1">H49-SUMIF(logs!$M:$M,'p&amp;l'!$Q49&amp;'p&amp;l'!X$34,logs!$X:$X)</f>
        <v>0</v>
      </c>
      <c r="Y49" s="61">
        <f ca="1">I49-SUMIF(logs!$M:$M,'p&amp;l'!$Q49&amp;'p&amp;l'!Y$34,logs!$X:$X)</f>
        <v>0</v>
      </c>
      <c r="Z49" s="61">
        <f ca="1">J49-SUMIF(logs!$M:$M,'p&amp;l'!$Q49&amp;'p&amp;l'!Z$34,logs!$X:$X)</f>
        <v>0</v>
      </c>
      <c r="AA49" s="61">
        <f ca="1">K49-SUMIF(logs!$M:$M,'p&amp;l'!$Q49&amp;'p&amp;l'!AA$34,logs!$X:$X)</f>
        <v>-28</v>
      </c>
      <c r="AB49" s="61">
        <f ca="1">L49-SUMIF(logs!$M:$M,'p&amp;l'!$Q49&amp;'p&amp;l'!AB$34,logs!$X:$X)</f>
        <v>0</v>
      </c>
      <c r="AC49" s="61">
        <f ca="1">M49-SUMIF(logs!$M:$M,'p&amp;l'!$Q49&amp;'p&amp;l'!AC$34,logs!$X:$X)</f>
        <v>0</v>
      </c>
      <c r="AD49" s="61">
        <f ca="1">N49-SUMIF(logs!$M:$M,'p&amp;l'!$Q49&amp;'p&amp;l'!AD$34,logs!$X:$X)</f>
        <v>0</v>
      </c>
      <c r="AE49" s="62">
        <f t="shared" ca="1" si="7"/>
        <v>-50056.000000000087</v>
      </c>
      <c r="AG49" s="56" t="s">
        <v>63</v>
      </c>
      <c r="AH49" s="61">
        <f ca="1">-SUMIFS(logs!$R:$R,logs!$M:$M,'p&amp;l'!$AG49&amp;'p&amp;l'!AH$34,logs!$A:$A,"&lt;="&amp;assumptions!$C$2)</f>
        <v>0</v>
      </c>
      <c r="AI49" s="61">
        <f ca="1">-SUMIFS(logs!$R:$R,logs!$M:$M,'p&amp;l'!$AG49&amp;'p&amp;l'!AI$34,logs!$A:$A,"&lt;="&amp;assumptions!$C$2)</f>
        <v>0</v>
      </c>
      <c r="AJ49" s="61">
        <f ca="1">-SUMIFS(logs!$R:$R,logs!$M:$M,'p&amp;l'!$AG49&amp;'p&amp;l'!AJ$34,logs!$A:$A,"&lt;="&amp;assumptions!$C$2)</f>
        <v>0</v>
      </c>
      <c r="AK49" s="61">
        <f ca="1">-SUMIFS(logs!$R:$R,logs!$M:$M,'p&amp;l'!$AG49&amp;'p&amp;l'!AK$34,logs!$A:$A,"&lt;="&amp;assumptions!$C$2)</f>
        <v>-27.999999999999996</v>
      </c>
      <c r="AL49" s="61">
        <f ca="1">-SUMIFS(logs!$R:$R,logs!$M:$M,'p&amp;l'!$AG49&amp;'p&amp;l'!AL$34,logs!$A:$A,"&lt;="&amp;assumptions!$C$2)</f>
        <v>0</v>
      </c>
      <c r="AM49" s="61">
        <f ca="1">-SUMIFS(logs!$R:$R,logs!$M:$M,'p&amp;l'!$AG49&amp;'p&amp;l'!AM$34,logs!$A:$A,"&lt;="&amp;assumptions!$C$2)</f>
        <v>0</v>
      </c>
      <c r="AN49" s="61">
        <f ca="1">-SUMIFS(logs!$R:$R,logs!$M:$M,'p&amp;l'!$AG49&amp;'p&amp;l'!AN$34,logs!$A:$A,"&lt;="&amp;assumptions!$C$2)</f>
        <v>0</v>
      </c>
      <c r="AO49" s="61">
        <f ca="1">-SUMIFS(logs!$R:$R,logs!$M:$M,'p&amp;l'!$AG49&amp;'p&amp;l'!AO$34,logs!$A:$A,"&lt;="&amp;assumptions!$C$2)</f>
        <v>0</v>
      </c>
      <c r="AP49" s="61">
        <f ca="1">-SUMIFS(logs!$R:$R,logs!$M:$M,'p&amp;l'!$AG49&amp;'p&amp;l'!AP$34,logs!$A:$A,"&lt;="&amp;assumptions!$C$2)</f>
        <v>0</v>
      </c>
      <c r="AQ49" s="61">
        <f ca="1">-SUMIFS(logs!$R:$R,logs!$M:$M,'p&amp;l'!$AG49&amp;'p&amp;l'!AQ$34,logs!$A:$A,"&lt;="&amp;assumptions!$C$2)</f>
        <v>-27.999999999999996</v>
      </c>
      <c r="AR49" s="61">
        <f ca="1">-SUMIFS(logs!$R:$R,logs!$M:$M,'p&amp;l'!$AG49&amp;'p&amp;l'!AR$34,logs!$A:$A,"&lt;="&amp;assumptions!$C$2)</f>
        <v>0</v>
      </c>
      <c r="AS49" s="61">
        <f ca="1">-SUMIFS(logs!$R:$R,logs!$M:$M,'p&amp;l'!$AG49&amp;'p&amp;l'!AS$34,logs!$A:$A,"&lt;="&amp;assumptions!$C$2)</f>
        <v>0</v>
      </c>
      <c r="AT49" s="61">
        <f ca="1">-SUMIFS(logs!$R:$R,logs!$M:$M,'p&amp;l'!$AG49&amp;'p&amp;l'!AT$34,logs!$A:$A,"&lt;="&amp;assumptions!$C$2)</f>
        <v>0</v>
      </c>
      <c r="AU49" s="62">
        <f t="shared" ca="1" si="8"/>
        <v>-55.999999999999993</v>
      </c>
    </row>
    <row r="50" spans="1:47" x14ac:dyDescent="0.35">
      <c r="A50" s="44" t="s">
        <v>68</v>
      </c>
      <c r="B50" s="57">
        <f ca="1">SUMIF(logs!$M:$M,'p&amp;l'!$A50&amp;'p&amp;l'!B$34,logs!$W:$W)+AH50</f>
        <v>0</v>
      </c>
      <c r="C50" s="57">
        <f ca="1">SUMIF(logs!$M:$M,'p&amp;l'!$A50&amp;'p&amp;l'!C$34,logs!$W:$W)+AI50</f>
        <v>0</v>
      </c>
      <c r="D50" s="57">
        <f ca="1">SUMIF(logs!$M:$M,'p&amp;l'!$A50&amp;'p&amp;l'!D$34,logs!$W:$W)+AJ50</f>
        <v>0</v>
      </c>
      <c r="E50" s="57">
        <f ca="1">SUMIF(logs!$M:$M,'p&amp;l'!$A50&amp;'p&amp;l'!E$34,logs!$W:$W)+AK50</f>
        <v>0</v>
      </c>
      <c r="F50" s="57">
        <f ca="1">SUMIF(logs!$M:$M,'p&amp;l'!$A50&amp;'p&amp;l'!F$34,logs!$W:$W)+AL50</f>
        <v>0</v>
      </c>
      <c r="G50" s="57">
        <f ca="1">SUMIF(logs!$M:$M,'p&amp;l'!$A50&amp;'p&amp;l'!G$34,logs!$W:$W)+AM50</f>
        <v>0</v>
      </c>
      <c r="H50" s="57">
        <f ca="1">SUMIF(logs!$M:$M,'p&amp;l'!$A50&amp;'p&amp;l'!H$34,logs!$W:$W)+AN50</f>
        <v>0</v>
      </c>
      <c r="I50" s="57">
        <f ca="1">SUMIF(logs!$M:$M,'p&amp;l'!$A50&amp;'p&amp;l'!I$34,logs!$W:$W)+AO50</f>
        <v>0</v>
      </c>
      <c r="J50" s="57">
        <f ca="1">SUMIF(logs!$M:$M,'p&amp;l'!$A50&amp;'p&amp;l'!J$34,logs!$W:$W)+AP50</f>
        <v>0</v>
      </c>
      <c r="K50" s="57">
        <f ca="1">SUMIF(logs!$M:$M,'p&amp;l'!$A50&amp;'p&amp;l'!K$34,logs!$W:$W)+AQ50</f>
        <v>0</v>
      </c>
      <c r="L50" s="57">
        <f ca="1">SUMIF(logs!$M:$M,'p&amp;l'!$A50&amp;'p&amp;l'!L$34,logs!$W:$W)+AR50</f>
        <v>0</v>
      </c>
      <c r="M50" s="57">
        <f ca="1">SUMIF(logs!$M:$M,'p&amp;l'!$A50&amp;'p&amp;l'!M$34,logs!$W:$W)+AS50</f>
        <v>0</v>
      </c>
      <c r="N50" s="57">
        <f ca="1">SUMIF(logs!$M:$M,'p&amp;l'!$A50&amp;'p&amp;l'!N$34,logs!$W:$W)+AT50</f>
        <v>0</v>
      </c>
      <c r="O50" s="58">
        <f t="shared" ca="1" si="6"/>
        <v>0</v>
      </c>
      <c r="Q50" s="44" t="s">
        <v>68</v>
      </c>
      <c r="R50" s="57">
        <f ca="1">B50-SUMIF(logs!$M:$M,'p&amp;l'!$Q50&amp;'p&amp;l'!R$34,logs!$X:$X)</f>
        <v>0</v>
      </c>
      <c r="S50" s="57">
        <f ca="1">C50-SUMIF(logs!$M:$M,'p&amp;l'!$Q50&amp;'p&amp;l'!S$34,logs!$X:$X)</f>
        <v>0</v>
      </c>
      <c r="T50" s="57">
        <f ca="1">D50-SUMIF(logs!$M:$M,'p&amp;l'!$Q50&amp;'p&amp;l'!T$34,logs!$X:$X)</f>
        <v>0</v>
      </c>
      <c r="U50" s="57">
        <f ca="1">E50-SUMIF(logs!$M:$M,'p&amp;l'!$Q50&amp;'p&amp;l'!U$34,logs!$X:$X)</f>
        <v>0</v>
      </c>
      <c r="V50" s="57">
        <f ca="1">F50-SUMIF(logs!$M:$M,'p&amp;l'!$Q50&amp;'p&amp;l'!V$34,logs!$X:$X)</f>
        <v>0</v>
      </c>
      <c r="W50" s="57">
        <f ca="1">G50-SUMIF(logs!$M:$M,'p&amp;l'!$Q50&amp;'p&amp;l'!W$34,logs!$X:$X)</f>
        <v>0</v>
      </c>
      <c r="X50" s="57">
        <f ca="1">H50-SUMIF(logs!$M:$M,'p&amp;l'!$Q50&amp;'p&amp;l'!X$34,logs!$X:$X)</f>
        <v>0</v>
      </c>
      <c r="Y50" s="57">
        <f ca="1">I50-SUMIF(logs!$M:$M,'p&amp;l'!$Q50&amp;'p&amp;l'!Y$34,logs!$X:$X)</f>
        <v>0</v>
      </c>
      <c r="Z50" s="57">
        <f ca="1">J50-SUMIF(logs!$M:$M,'p&amp;l'!$Q50&amp;'p&amp;l'!Z$34,logs!$X:$X)</f>
        <v>0</v>
      </c>
      <c r="AA50" s="57">
        <f ca="1">K50-SUMIF(logs!$M:$M,'p&amp;l'!$Q50&amp;'p&amp;l'!AA$34,logs!$X:$X)</f>
        <v>0</v>
      </c>
      <c r="AB50" s="57">
        <f ca="1">L50-SUMIF(logs!$M:$M,'p&amp;l'!$Q50&amp;'p&amp;l'!AB$34,logs!$X:$X)</f>
        <v>0</v>
      </c>
      <c r="AC50" s="57">
        <f ca="1">M50-SUMIF(logs!$M:$M,'p&amp;l'!$Q50&amp;'p&amp;l'!AC$34,logs!$X:$X)</f>
        <v>0</v>
      </c>
      <c r="AD50" s="57">
        <f ca="1">N50-SUMIF(logs!$M:$M,'p&amp;l'!$Q50&amp;'p&amp;l'!AD$34,logs!$X:$X)</f>
        <v>0</v>
      </c>
      <c r="AE50" s="58">
        <f t="shared" ca="1" si="7"/>
        <v>0</v>
      </c>
      <c r="AG50" s="44" t="s">
        <v>68</v>
      </c>
      <c r="AH50" s="57">
        <f ca="1">-SUMIFS(logs!$R:$R,logs!$M:$M,'p&amp;l'!$AG50&amp;'p&amp;l'!AH$34,logs!$A:$A,"&lt;="&amp;assumptions!$C$2)</f>
        <v>0</v>
      </c>
      <c r="AI50" s="57">
        <f ca="1">-SUMIFS(logs!$R:$R,logs!$M:$M,'p&amp;l'!$AG50&amp;'p&amp;l'!AI$34,logs!$A:$A,"&lt;="&amp;assumptions!$C$2)</f>
        <v>0</v>
      </c>
      <c r="AJ50" s="57">
        <f ca="1">-SUMIFS(logs!$R:$R,logs!$M:$M,'p&amp;l'!$AG50&amp;'p&amp;l'!AJ$34,logs!$A:$A,"&lt;="&amp;assumptions!$C$2)</f>
        <v>0</v>
      </c>
      <c r="AK50" s="57">
        <f ca="1">-SUMIFS(logs!$R:$R,logs!$M:$M,'p&amp;l'!$AG50&amp;'p&amp;l'!AK$34,logs!$A:$A,"&lt;="&amp;assumptions!$C$2)</f>
        <v>0</v>
      </c>
      <c r="AL50" s="57">
        <f ca="1">-SUMIFS(logs!$R:$R,logs!$M:$M,'p&amp;l'!$AG50&amp;'p&amp;l'!AL$34,logs!$A:$A,"&lt;="&amp;assumptions!$C$2)</f>
        <v>0</v>
      </c>
      <c r="AM50" s="57">
        <f ca="1">-SUMIFS(logs!$R:$R,logs!$M:$M,'p&amp;l'!$AG50&amp;'p&amp;l'!AM$34,logs!$A:$A,"&lt;="&amp;assumptions!$C$2)</f>
        <v>0</v>
      </c>
      <c r="AN50" s="57">
        <f ca="1">-SUMIFS(logs!$R:$R,logs!$M:$M,'p&amp;l'!$AG50&amp;'p&amp;l'!AN$34,logs!$A:$A,"&lt;="&amp;assumptions!$C$2)</f>
        <v>0</v>
      </c>
      <c r="AO50" s="57">
        <f ca="1">-SUMIFS(logs!$R:$R,logs!$M:$M,'p&amp;l'!$AG50&amp;'p&amp;l'!AO$34,logs!$A:$A,"&lt;="&amp;assumptions!$C$2)</f>
        <v>0</v>
      </c>
      <c r="AP50" s="57">
        <f ca="1">-SUMIFS(logs!$R:$R,logs!$M:$M,'p&amp;l'!$AG50&amp;'p&amp;l'!AP$34,logs!$A:$A,"&lt;="&amp;assumptions!$C$2)</f>
        <v>0</v>
      </c>
      <c r="AQ50" s="57">
        <f ca="1">-SUMIFS(logs!$R:$R,logs!$M:$M,'p&amp;l'!$AG50&amp;'p&amp;l'!AQ$34,logs!$A:$A,"&lt;="&amp;assumptions!$C$2)</f>
        <v>0</v>
      </c>
      <c r="AR50" s="57">
        <f ca="1">-SUMIFS(logs!$R:$R,logs!$M:$M,'p&amp;l'!$AG50&amp;'p&amp;l'!AR$34,logs!$A:$A,"&lt;="&amp;assumptions!$C$2)</f>
        <v>0</v>
      </c>
      <c r="AS50" s="57">
        <f ca="1">-SUMIFS(logs!$R:$R,logs!$M:$M,'p&amp;l'!$AG50&amp;'p&amp;l'!AS$34,logs!$A:$A,"&lt;="&amp;assumptions!$C$2)</f>
        <v>0</v>
      </c>
      <c r="AT50" s="57">
        <f ca="1">-SUMIFS(logs!$R:$R,logs!$M:$M,'p&amp;l'!$AG50&amp;'p&amp;l'!AT$34,logs!$A:$A,"&lt;="&amp;assumptions!$C$2)</f>
        <v>0</v>
      </c>
      <c r="AU50" s="58">
        <f t="shared" ca="1" si="8"/>
        <v>0</v>
      </c>
    </row>
    <row r="51" spans="1:47" x14ac:dyDescent="0.35">
      <c r="A51" s="44" t="s">
        <v>72</v>
      </c>
      <c r="B51" s="57">
        <f ca="1">SUMIF(logs!$M:$M,'p&amp;l'!$A51&amp;'p&amp;l'!B$34,logs!$W:$W)+AH51</f>
        <v>0</v>
      </c>
      <c r="C51" s="57">
        <f ca="1">SUMIF(logs!$M:$M,'p&amp;l'!$A51&amp;'p&amp;l'!C$34,logs!$W:$W)+AI51</f>
        <v>0</v>
      </c>
      <c r="D51" s="57">
        <f ca="1">SUMIF(logs!$M:$M,'p&amp;l'!$A51&amp;'p&amp;l'!D$34,logs!$W:$W)+AJ51</f>
        <v>0</v>
      </c>
      <c r="E51" s="57">
        <f ca="1">SUMIF(logs!$M:$M,'p&amp;l'!$A51&amp;'p&amp;l'!E$34,logs!$W:$W)+AK51</f>
        <v>-78522.399999999994</v>
      </c>
      <c r="F51" s="57">
        <f ca="1">SUMIF(logs!$M:$M,'p&amp;l'!$A51&amp;'p&amp;l'!F$34,logs!$W:$W)+AL51</f>
        <v>0</v>
      </c>
      <c r="G51" s="57">
        <f ca="1">SUMIF(logs!$M:$M,'p&amp;l'!$A51&amp;'p&amp;l'!G$34,logs!$W:$W)+AM51</f>
        <v>0</v>
      </c>
      <c r="H51" s="57">
        <f ca="1">SUMIF(logs!$M:$M,'p&amp;l'!$A51&amp;'p&amp;l'!H$34,logs!$W:$W)+AN51</f>
        <v>0</v>
      </c>
      <c r="I51" s="57">
        <f ca="1">SUMIF(logs!$M:$M,'p&amp;l'!$A51&amp;'p&amp;l'!I$34,logs!$W:$W)+AO51</f>
        <v>0</v>
      </c>
      <c r="J51" s="57">
        <f ca="1">SUMIF(logs!$M:$M,'p&amp;l'!$A51&amp;'p&amp;l'!J$34,logs!$W:$W)+AP51</f>
        <v>0</v>
      </c>
      <c r="K51" s="57">
        <f ca="1">SUMIF(logs!$M:$M,'p&amp;l'!$A51&amp;'p&amp;l'!K$34,logs!$W:$W)+AQ51</f>
        <v>111977.60000000001</v>
      </c>
      <c r="L51" s="57">
        <f ca="1">SUMIF(logs!$M:$M,'p&amp;l'!$A51&amp;'p&amp;l'!L$34,logs!$W:$W)+AR51</f>
        <v>0</v>
      </c>
      <c r="M51" s="57">
        <f ca="1">SUMIF(logs!$M:$M,'p&amp;l'!$A51&amp;'p&amp;l'!M$34,logs!$W:$W)+AS51</f>
        <v>0</v>
      </c>
      <c r="N51" s="57">
        <f ca="1">SUMIF(logs!$M:$M,'p&amp;l'!$A51&amp;'p&amp;l'!N$34,logs!$W:$W)+AT51</f>
        <v>0</v>
      </c>
      <c r="O51" s="58">
        <f t="shared" ca="1" si="6"/>
        <v>33455.200000000012</v>
      </c>
      <c r="Q51" s="44" t="s">
        <v>72</v>
      </c>
      <c r="R51" s="57">
        <f ca="1">B51-SUMIF(logs!$M:$M,'p&amp;l'!$Q51&amp;'p&amp;l'!R$34,logs!$X:$X)</f>
        <v>0</v>
      </c>
      <c r="S51" s="57">
        <f ca="1">C51-SUMIF(logs!$M:$M,'p&amp;l'!$Q51&amp;'p&amp;l'!S$34,logs!$X:$X)</f>
        <v>0</v>
      </c>
      <c r="T51" s="57">
        <f ca="1">D51-SUMIF(logs!$M:$M,'p&amp;l'!$Q51&amp;'p&amp;l'!T$34,logs!$X:$X)</f>
        <v>0</v>
      </c>
      <c r="U51" s="57">
        <f ca="1">E51-SUMIF(logs!$M:$M,'p&amp;l'!$Q51&amp;'p&amp;l'!U$34,logs!$X:$X)</f>
        <v>164977.60000000001</v>
      </c>
      <c r="V51" s="57">
        <f ca="1">F51-SUMIF(logs!$M:$M,'p&amp;l'!$Q51&amp;'p&amp;l'!V$34,logs!$X:$X)</f>
        <v>0</v>
      </c>
      <c r="W51" s="57">
        <f ca="1">G51-SUMIF(logs!$M:$M,'p&amp;l'!$Q51&amp;'p&amp;l'!W$34,logs!$X:$X)</f>
        <v>0</v>
      </c>
      <c r="X51" s="57">
        <f ca="1">H51-SUMIF(logs!$M:$M,'p&amp;l'!$Q51&amp;'p&amp;l'!X$34,logs!$X:$X)</f>
        <v>0</v>
      </c>
      <c r="Y51" s="57">
        <f ca="1">I51-SUMIF(logs!$M:$M,'p&amp;l'!$Q51&amp;'p&amp;l'!Y$34,logs!$X:$X)</f>
        <v>0</v>
      </c>
      <c r="Z51" s="57">
        <f ca="1">J51-SUMIF(logs!$M:$M,'p&amp;l'!$Q51&amp;'p&amp;l'!Z$34,logs!$X:$X)</f>
        <v>0</v>
      </c>
      <c r="AA51" s="57">
        <f ca="1">K51-SUMIF(logs!$M:$M,'p&amp;l'!$Q51&amp;'p&amp;l'!AA$34,logs!$X:$X)</f>
        <v>99977.600000000006</v>
      </c>
      <c r="AB51" s="57">
        <f ca="1">L51-SUMIF(logs!$M:$M,'p&amp;l'!$Q51&amp;'p&amp;l'!AB$34,logs!$X:$X)</f>
        <v>0</v>
      </c>
      <c r="AC51" s="57">
        <f ca="1">M51-SUMIF(logs!$M:$M,'p&amp;l'!$Q51&amp;'p&amp;l'!AC$34,logs!$X:$X)</f>
        <v>0</v>
      </c>
      <c r="AD51" s="57">
        <f ca="1">N51-SUMIF(logs!$M:$M,'p&amp;l'!$Q51&amp;'p&amp;l'!AD$34,logs!$X:$X)</f>
        <v>0</v>
      </c>
      <c r="AE51" s="58">
        <f t="shared" ca="1" si="7"/>
        <v>264955.2</v>
      </c>
      <c r="AG51" s="44" t="s">
        <v>72</v>
      </c>
      <c r="AH51" s="57">
        <f ca="1">-SUMIFS(logs!$R:$R,logs!$M:$M,'p&amp;l'!$AG51&amp;'p&amp;l'!AH$34,logs!$A:$A,"&lt;="&amp;assumptions!$C$2)</f>
        <v>0</v>
      </c>
      <c r="AI51" s="57">
        <f ca="1">-SUMIFS(logs!$R:$R,logs!$M:$M,'p&amp;l'!$AG51&amp;'p&amp;l'!AI$34,logs!$A:$A,"&lt;="&amp;assumptions!$C$2)</f>
        <v>0</v>
      </c>
      <c r="AJ51" s="57">
        <f ca="1">-SUMIFS(logs!$R:$R,logs!$M:$M,'p&amp;l'!$AG51&amp;'p&amp;l'!AJ$34,logs!$A:$A,"&lt;="&amp;assumptions!$C$2)</f>
        <v>0</v>
      </c>
      <c r="AK51" s="57">
        <f ca="1">-SUMIFS(logs!$R:$R,logs!$M:$M,'p&amp;l'!$AG51&amp;'p&amp;l'!AK$34,logs!$A:$A,"&lt;="&amp;assumptions!$C$2)</f>
        <v>-22.4</v>
      </c>
      <c r="AL51" s="57">
        <f ca="1">-SUMIFS(logs!$R:$R,logs!$M:$M,'p&amp;l'!$AG51&amp;'p&amp;l'!AL$34,logs!$A:$A,"&lt;="&amp;assumptions!$C$2)</f>
        <v>0</v>
      </c>
      <c r="AM51" s="57">
        <f ca="1">-SUMIFS(logs!$R:$R,logs!$M:$M,'p&amp;l'!$AG51&amp;'p&amp;l'!AM$34,logs!$A:$A,"&lt;="&amp;assumptions!$C$2)</f>
        <v>0</v>
      </c>
      <c r="AN51" s="57">
        <f ca="1">-SUMIFS(logs!$R:$R,logs!$M:$M,'p&amp;l'!$AG51&amp;'p&amp;l'!AN$34,logs!$A:$A,"&lt;="&amp;assumptions!$C$2)</f>
        <v>0</v>
      </c>
      <c r="AO51" s="57">
        <f ca="1">-SUMIFS(logs!$R:$R,logs!$M:$M,'p&amp;l'!$AG51&amp;'p&amp;l'!AO$34,logs!$A:$A,"&lt;="&amp;assumptions!$C$2)</f>
        <v>0</v>
      </c>
      <c r="AP51" s="57">
        <f ca="1">-SUMIFS(logs!$R:$R,logs!$M:$M,'p&amp;l'!$AG51&amp;'p&amp;l'!AP$34,logs!$A:$A,"&lt;="&amp;assumptions!$C$2)</f>
        <v>0</v>
      </c>
      <c r="AQ51" s="57">
        <f ca="1">-SUMIFS(logs!$R:$R,logs!$M:$M,'p&amp;l'!$AG51&amp;'p&amp;l'!AQ$34,logs!$A:$A,"&lt;="&amp;assumptions!$C$2)</f>
        <v>-22.4</v>
      </c>
      <c r="AR51" s="57">
        <f ca="1">-SUMIFS(logs!$R:$R,logs!$M:$M,'p&amp;l'!$AG51&amp;'p&amp;l'!AR$34,logs!$A:$A,"&lt;="&amp;assumptions!$C$2)</f>
        <v>0</v>
      </c>
      <c r="AS51" s="57">
        <f ca="1">-SUMIFS(logs!$R:$R,logs!$M:$M,'p&amp;l'!$AG51&amp;'p&amp;l'!AS$34,logs!$A:$A,"&lt;="&amp;assumptions!$C$2)</f>
        <v>0</v>
      </c>
      <c r="AT51" s="57">
        <f ca="1">-SUMIFS(logs!$R:$R,logs!$M:$M,'p&amp;l'!$AG51&amp;'p&amp;l'!AT$34,logs!$A:$A,"&lt;="&amp;assumptions!$C$2)</f>
        <v>0</v>
      </c>
      <c r="AU51" s="58">
        <f t="shared" ca="1" si="8"/>
        <v>-44.8</v>
      </c>
    </row>
    <row r="52" spans="1:47" x14ac:dyDescent="0.35">
      <c r="A52" s="44" t="s">
        <v>75</v>
      </c>
      <c r="B52" s="57">
        <f ca="1">SUMIF(logs!$M:$M,'p&amp;l'!$A52&amp;'p&amp;l'!B$34,logs!$W:$W)+AH52</f>
        <v>0</v>
      </c>
      <c r="C52" s="57">
        <f ca="1">SUMIF(logs!$M:$M,'p&amp;l'!$A52&amp;'p&amp;l'!C$34,logs!$W:$W)+AI52</f>
        <v>0</v>
      </c>
      <c r="D52" s="57">
        <f ca="1">SUMIF(logs!$M:$M,'p&amp;l'!$A52&amp;'p&amp;l'!D$34,logs!$W:$W)+AJ52</f>
        <v>0</v>
      </c>
      <c r="E52" s="57">
        <f ca="1">SUMIF(logs!$M:$M,'p&amp;l'!$A52&amp;'p&amp;l'!E$34,logs!$W:$W)+AK52</f>
        <v>0</v>
      </c>
      <c r="F52" s="57">
        <f ca="1">SUMIF(logs!$M:$M,'p&amp;l'!$A52&amp;'p&amp;l'!F$34,logs!$W:$W)+AL52</f>
        <v>0</v>
      </c>
      <c r="G52" s="57">
        <f ca="1">SUMIF(logs!$M:$M,'p&amp;l'!$A52&amp;'p&amp;l'!G$34,logs!$W:$W)+AM52</f>
        <v>0</v>
      </c>
      <c r="H52" s="57">
        <f ca="1">SUMIF(logs!$M:$M,'p&amp;l'!$A52&amp;'p&amp;l'!H$34,logs!$W:$W)+AN52</f>
        <v>0</v>
      </c>
      <c r="I52" s="57">
        <f ca="1">SUMIF(logs!$M:$M,'p&amp;l'!$A52&amp;'p&amp;l'!I$34,logs!$W:$W)+AO52</f>
        <v>0</v>
      </c>
      <c r="J52" s="57">
        <f ca="1">SUMIF(logs!$M:$M,'p&amp;l'!$A52&amp;'p&amp;l'!J$34,logs!$W:$W)+AP52</f>
        <v>0</v>
      </c>
      <c r="K52" s="57">
        <f ca="1">SUMIF(logs!$M:$M,'p&amp;l'!$A52&amp;'p&amp;l'!K$34,logs!$W:$W)+AQ52</f>
        <v>0</v>
      </c>
      <c r="L52" s="57">
        <f ca="1">SUMIF(logs!$M:$M,'p&amp;l'!$A52&amp;'p&amp;l'!L$34,logs!$W:$W)+AR52</f>
        <v>0</v>
      </c>
      <c r="M52" s="57">
        <f ca="1">SUMIF(logs!$M:$M,'p&amp;l'!$A52&amp;'p&amp;l'!M$34,logs!$W:$W)+AS52</f>
        <v>0</v>
      </c>
      <c r="N52" s="57">
        <f ca="1">SUMIF(logs!$M:$M,'p&amp;l'!$A52&amp;'p&amp;l'!N$34,logs!$W:$W)+AT52</f>
        <v>0</v>
      </c>
      <c r="O52" s="58">
        <f t="shared" ca="1" si="6"/>
        <v>0</v>
      </c>
      <c r="Q52" s="44" t="s">
        <v>75</v>
      </c>
      <c r="R52" s="57">
        <f ca="1">B52-SUMIF(logs!$M:$M,'p&amp;l'!$Q52&amp;'p&amp;l'!R$34,logs!$X:$X)</f>
        <v>0</v>
      </c>
      <c r="S52" s="57">
        <f ca="1">C52-SUMIF(logs!$M:$M,'p&amp;l'!$Q52&amp;'p&amp;l'!S$34,logs!$X:$X)</f>
        <v>0</v>
      </c>
      <c r="T52" s="57">
        <f ca="1">D52-SUMIF(logs!$M:$M,'p&amp;l'!$Q52&amp;'p&amp;l'!T$34,logs!$X:$X)</f>
        <v>0</v>
      </c>
      <c r="U52" s="57">
        <f ca="1">E52-SUMIF(logs!$M:$M,'p&amp;l'!$Q52&amp;'p&amp;l'!U$34,logs!$X:$X)</f>
        <v>0</v>
      </c>
      <c r="V52" s="57">
        <f ca="1">F52-SUMIF(logs!$M:$M,'p&amp;l'!$Q52&amp;'p&amp;l'!V$34,logs!$X:$X)</f>
        <v>0</v>
      </c>
      <c r="W52" s="57">
        <f ca="1">G52-SUMIF(logs!$M:$M,'p&amp;l'!$Q52&amp;'p&amp;l'!W$34,logs!$X:$X)</f>
        <v>0</v>
      </c>
      <c r="X52" s="57">
        <f ca="1">H52-SUMIF(logs!$M:$M,'p&amp;l'!$Q52&amp;'p&amp;l'!X$34,logs!$X:$X)</f>
        <v>0</v>
      </c>
      <c r="Y52" s="57">
        <f ca="1">I52-SUMIF(logs!$M:$M,'p&amp;l'!$Q52&amp;'p&amp;l'!Y$34,logs!$X:$X)</f>
        <v>0</v>
      </c>
      <c r="Z52" s="57">
        <f ca="1">J52-SUMIF(logs!$M:$M,'p&amp;l'!$Q52&amp;'p&amp;l'!Z$34,logs!$X:$X)</f>
        <v>0</v>
      </c>
      <c r="AA52" s="57">
        <f ca="1">K52-SUMIF(logs!$M:$M,'p&amp;l'!$Q52&amp;'p&amp;l'!AA$34,logs!$X:$X)</f>
        <v>0</v>
      </c>
      <c r="AB52" s="57">
        <f ca="1">L52-SUMIF(logs!$M:$M,'p&amp;l'!$Q52&amp;'p&amp;l'!AB$34,logs!$X:$X)</f>
        <v>0</v>
      </c>
      <c r="AC52" s="57">
        <f ca="1">M52-SUMIF(logs!$M:$M,'p&amp;l'!$Q52&amp;'p&amp;l'!AC$34,logs!$X:$X)</f>
        <v>0</v>
      </c>
      <c r="AD52" s="57">
        <f ca="1">N52-SUMIF(logs!$M:$M,'p&amp;l'!$Q52&amp;'p&amp;l'!AD$34,logs!$X:$X)</f>
        <v>0</v>
      </c>
      <c r="AE52" s="58">
        <f t="shared" ca="1" si="7"/>
        <v>0</v>
      </c>
      <c r="AG52" s="44" t="s">
        <v>75</v>
      </c>
      <c r="AH52" s="57">
        <f ca="1">-SUMIFS(logs!$R:$R,logs!$M:$M,'p&amp;l'!$AG52&amp;'p&amp;l'!AH$34,logs!$A:$A,"&lt;="&amp;assumptions!$C$2)</f>
        <v>0</v>
      </c>
      <c r="AI52" s="57">
        <f ca="1">-SUMIFS(logs!$R:$R,logs!$M:$M,'p&amp;l'!$AG52&amp;'p&amp;l'!AI$34,logs!$A:$A,"&lt;="&amp;assumptions!$C$2)</f>
        <v>0</v>
      </c>
      <c r="AJ52" s="57">
        <f ca="1">-SUMIFS(logs!$R:$R,logs!$M:$M,'p&amp;l'!$AG52&amp;'p&amp;l'!AJ$34,logs!$A:$A,"&lt;="&amp;assumptions!$C$2)</f>
        <v>0</v>
      </c>
      <c r="AK52" s="57">
        <f ca="1">-SUMIFS(logs!$R:$R,logs!$M:$M,'p&amp;l'!$AG52&amp;'p&amp;l'!AK$34,logs!$A:$A,"&lt;="&amp;assumptions!$C$2)</f>
        <v>0</v>
      </c>
      <c r="AL52" s="57">
        <f ca="1">-SUMIFS(logs!$R:$R,logs!$M:$M,'p&amp;l'!$AG52&amp;'p&amp;l'!AL$34,logs!$A:$A,"&lt;="&amp;assumptions!$C$2)</f>
        <v>0</v>
      </c>
      <c r="AM52" s="57">
        <f ca="1">-SUMIFS(logs!$R:$R,logs!$M:$M,'p&amp;l'!$AG52&amp;'p&amp;l'!AM$34,logs!$A:$A,"&lt;="&amp;assumptions!$C$2)</f>
        <v>0</v>
      </c>
      <c r="AN52" s="57">
        <f ca="1">-SUMIFS(logs!$R:$R,logs!$M:$M,'p&amp;l'!$AG52&amp;'p&amp;l'!AN$34,logs!$A:$A,"&lt;="&amp;assumptions!$C$2)</f>
        <v>0</v>
      </c>
      <c r="AO52" s="57">
        <f ca="1">-SUMIFS(logs!$R:$R,logs!$M:$M,'p&amp;l'!$AG52&amp;'p&amp;l'!AO$34,logs!$A:$A,"&lt;="&amp;assumptions!$C$2)</f>
        <v>0</v>
      </c>
      <c r="AP52" s="57">
        <f ca="1">-SUMIFS(logs!$R:$R,logs!$M:$M,'p&amp;l'!$AG52&amp;'p&amp;l'!AP$34,logs!$A:$A,"&lt;="&amp;assumptions!$C$2)</f>
        <v>0</v>
      </c>
      <c r="AQ52" s="57">
        <f ca="1">-SUMIFS(logs!$R:$R,logs!$M:$M,'p&amp;l'!$AG52&amp;'p&amp;l'!AQ$34,logs!$A:$A,"&lt;="&amp;assumptions!$C$2)</f>
        <v>0</v>
      </c>
      <c r="AR52" s="57">
        <f ca="1">-SUMIFS(logs!$R:$R,logs!$M:$M,'p&amp;l'!$AG52&amp;'p&amp;l'!AR$34,logs!$A:$A,"&lt;="&amp;assumptions!$C$2)</f>
        <v>0</v>
      </c>
      <c r="AS52" s="57">
        <f ca="1">-SUMIFS(logs!$R:$R,logs!$M:$M,'p&amp;l'!$AG52&amp;'p&amp;l'!AS$34,logs!$A:$A,"&lt;="&amp;assumptions!$C$2)</f>
        <v>0</v>
      </c>
      <c r="AT52" s="57">
        <f ca="1">-SUMIFS(logs!$R:$R,logs!$M:$M,'p&amp;l'!$AG52&amp;'p&amp;l'!AT$34,logs!$A:$A,"&lt;="&amp;assumptions!$C$2)</f>
        <v>0</v>
      </c>
      <c r="AU52" s="58">
        <f t="shared" ca="1" si="8"/>
        <v>0</v>
      </c>
    </row>
    <row r="53" spans="1:47" x14ac:dyDescent="0.35">
      <c r="A53" s="45" t="s">
        <v>78</v>
      </c>
      <c r="B53" s="59">
        <f ca="1">SUMIF(logs!$M:$M,'p&amp;l'!$A53&amp;'p&amp;l'!B$34,logs!$W:$W)+AH53</f>
        <v>0</v>
      </c>
      <c r="C53" s="59">
        <f ca="1">SUMIF(logs!$M:$M,'p&amp;l'!$A53&amp;'p&amp;l'!C$34,logs!$W:$W)+AI53</f>
        <v>0</v>
      </c>
      <c r="D53" s="59">
        <f ca="1">SUMIF(logs!$M:$M,'p&amp;l'!$A53&amp;'p&amp;l'!D$34,logs!$W:$W)+AJ53</f>
        <v>0</v>
      </c>
      <c r="E53" s="59">
        <f ca="1">SUMIF(logs!$M:$M,'p&amp;l'!$A53&amp;'p&amp;l'!E$34,logs!$W:$W)+AK53</f>
        <v>0</v>
      </c>
      <c r="F53" s="59">
        <f ca="1">SUMIF(logs!$M:$M,'p&amp;l'!$A53&amp;'p&amp;l'!F$34,logs!$W:$W)+AL53</f>
        <v>0</v>
      </c>
      <c r="G53" s="59">
        <f ca="1">SUMIF(logs!$M:$M,'p&amp;l'!$A53&amp;'p&amp;l'!G$34,logs!$W:$W)+AM53</f>
        <v>0</v>
      </c>
      <c r="H53" s="59">
        <f ca="1">SUMIF(logs!$M:$M,'p&amp;l'!$A53&amp;'p&amp;l'!H$34,logs!$W:$W)+AN53</f>
        <v>0</v>
      </c>
      <c r="I53" s="59">
        <f ca="1">SUMIF(logs!$M:$M,'p&amp;l'!$A53&amp;'p&amp;l'!I$34,logs!$W:$W)+AO53</f>
        <v>0</v>
      </c>
      <c r="J53" s="59">
        <f ca="1">SUMIF(logs!$M:$M,'p&amp;l'!$A53&amp;'p&amp;l'!J$34,logs!$W:$W)+AP53</f>
        <v>0</v>
      </c>
      <c r="K53" s="59">
        <f ca="1">SUMIF(logs!$M:$M,'p&amp;l'!$A53&amp;'p&amp;l'!K$34,logs!$W:$W)+AQ53</f>
        <v>0</v>
      </c>
      <c r="L53" s="59">
        <f ca="1">SUMIF(logs!$M:$M,'p&amp;l'!$A53&amp;'p&amp;l'!L$34,logs!$W:$W)+AR53</f>
        <v>0</v>
      </c>
      <c r="M53" s="59">
        <f ca="1">SUMIF(logs!$M:$M,'p&amp;l'!$A53&amp;'p&amp;l'!M$34,logs!$W:$W)+AS53</f>
        <v>0</v>
      </c>
      <c r="N53" s="59">
        <f ca="1">SUMIF(logs!$M:$M,'p&amp;l'!$A53&amp;'p&amp;l'!N$34,logs!$W:$W)+AT53</f>
        <v>0</v>
      </c>
      <c r="O53" s="60">
        <f t="shared" ca="1" si="6"/>
        <v>0</v>
      </c>
      <c r="Q53" s="45" t="s">
        <v>78</v>
      </c>
      <c r="R53" s="59">
        <f ca="1">B53-SUMIF(logs!$M:$M,'p&amp;l'!$Q53&amp;'p&amp;l'!R$34,logs!$X:$X)</f>
        <v>0</v>
      </c>
      <c r="S53" s="59">
        <f ca="1">C53-SUMIF(logs!$M:$M,'p&amp;l'!$Q53&amp;'p&amp;l'!S$34,logs!$X:$X)</f>
        <v>0</v>
      </c>
      <c r="T53" s="59">
        <f ca="1">D53-SUMIF(logs!$M:$M,'p&amp;l'!$Q53&amp;'p&amp;l'!T$34,logs!$X:$X)</f>
        <v>0</v>
      </c>
      <c r="U53" s="59">
        <f ca="1">E53-SUMIF(logs!$M:$M,'p&amp;l'!$Q53&amp;'p&amp;l'!U$34,logs!$X:$X)</f>
        <v>0</v>
      </c>
      <c r="V53" s="59">
        <f ca="1">F53-SUMIF(logs!$M:$M,'p&amp;l'!$Q53&amp;'p&amp;l'!V$34,logs!$X:$X)</f>
        <v>0</v>
      </c>
      <c r="W53" s="59">
        <f ca="1">G53-SUMIF(logs!$M:$M,'p&amp;l'!$Q53&amp;'p&amp;l'!W$34,logs!$X:$X)</f>
        <v>0</v>
      </c>
      <c r="X53" s="59">
        <f ca="1">H53-SUMIF(logs!$M:$M,'p&amp;l'!$Q53&amp;'p&amp;l'!X$34,logs!$X:$X)</f>
        <v>0</v>
      </c>
      <c r="Y53" s="59">
        <f ca="1">I53-SUMIF(logs!$M:$M,'p&amp;l'!$Q53&amp;'p&amp;l'!Y$34,logs!$X:$X)</f>
        <v>0</v>
      </c>
      <c r="Z53" s="59">
        <f ca="1">J53-SUMIF(logs!$M:$M,'p&amp;l'!$Q53&amp;'p&amp;l'!Z$34,logs!$X:$X)</f>
        <v>0</v>
      </c>
      <c r="AA53" s="59">
        <f ca="1">K53-SUMIF(logs!$M:$M,'p&amp;l'!$Q53&amp;'p&amp;l'!AA$34,logs!$X:$X)</f>
        <v>0</v>
      </c>
      <c r="AB53" s="59">
        <f ca="1">L53-SUMIF(logs!$M:$M,'p&amp;l'!$Q53&amp;'p&amp;l'!AB$34,logs!$X:$X)</f>
        <v>0</v>
      </c>
      <c r="AC53" s="59">
        <f ca="1">M53-SUMIF(logs!$M:$M,'p&amp;l'!$Q53&amp;'p&amp;l'!AC$34,logs!$X:$X)</f>
        <v>0</v>
      </c>
      <c r="AD53" s="59">
        <f ca="1">N53-SUMIF(logs!$M:$M,'p&amp;l'!$Q53&amp;'p&amp;l'!AD$34,logs!$X:$X)</f>
        <v>0</v>
      </c>
      <c r="AE53" s="60">
        <f t="shared" ca="1" si="7"/>
        <v>0</v>
      </c>
      <c r="AG53" s="45" t="s">
        <v>78</v>
      </c>
      <c r="AH53" s="59">
        <f ca="1">-SUMIFS(logs!$R:$R,logs!$M:$M,'p&amp;l'!$AG53&amp;'p&amp;l'!AH$34,logs!$A:$A,"&lt;="&amp;assumptions!$C$2)</f>
        <v>0</v>
      </c>
      <c r="AI53" s="59">
        <f ca="1">-SUMIFS(logs!$R:$R,logs!$M:$M,'p&amp;l'!$AG53&amp;'p&amp;l'!AI$34,logs!$A:$A,"&lt;="&amp;assumptions!$C$2)</f>
        <v>0</v>
      </c>
      <c r="AJ53" s="59">
        <f ca="1">-SUMIFS(logs!$R:$R,logs!$M:$M,'p&amp;l'!$AG53&amp;'p&amp;l'!AJ$34,logs!$A:$A,"&lt;="&amp;assumptions!$C$2)</f>
        <v>0</v>
      </c>
      <c r="AK53" s="59">
        <f ca="1">-SUMIFS(logs!$R:$R,logs!$M:$M,'p&amp;l'!$AG53&amp;'p&amp;l'!AK$34,logs!$A:$A,"&lt;="&amp;assumptions!$C$2)</f>
        <v>0</v>
      </c>
      <c r="AL53" s="59">
        <f ca="1">-SUMIFS(logs!$R:$R,logs!$M:$M,'p&amp;l'!$AG53&amp;'p&amp;l'!AL$34,logs!$A:$A,"&lt;="&amp;assumptions!$C$2)</f>
        <v>0</v>
      </c>
      <c r="AM53" s="59">
        <f ca="1">-SUMIFS(logs!$R:$R,logs!$M:$M,'p&amp;l'!$AG53&amp;'p&amp;l'!AM$34,logs!$A:$A,"&lt;="&amp;assumptions!$C$2)</f>
        <v>0</v>
      </c>
      <c r="AN53" s="59">
        <f ca="1">-SUMIFS(logs!$R:$R,logs!$M:$M,'p&amp;l'!$AG53&amp;'p&amp;l'!AN$34,logs!$A:$A,"&lt;="&amp;assumptions!$C$2)</f>
        <v>0</v>
      </c>
      <c r="AO53" s="59">
        <f ca="1">-SUMIFS(logs!$R:$R,logs!$M:$M,'p&amp;l'!$AG53&amp;'p&amp;l'!AO$34,logs!$A:$A,"&lt;="&amp;assumptions!$C$2)</f>
        <v>0</v>
      </c>
      <c r="AP53" s="59">
        <f ca="1">-SUMIFS(logs!$R:$R,logs!$M:$M,'p&amp;l'!$AG53&amp;'p&amp;l'!AP$34,logs!$A:$A,"&lt;="&amp;assumptions!$C$2)</f>
        <v>0</v>
      </c>
      <c r="AQ53" s="59">
        <f ca="1">-SUMIFS(logs!$R:$R,logs!$M:$M,'p&amp;l'!$AG53&amp;'p&amp;l'!AQ$34,logs!$A:$A,"&lt;="&amp;assumptions!$C$2)</f>
        <v>0</v>
      </c>
      <c r="AR53" s="59">
        <f ca="1">-SUMIFS(logs!$R:$R,logs!$M:$M,'p&amp;l'!$AG53&amp;'p&amp;l'!AR$34,logs!$A:$A,"&lt;="&amp;assumptions!$C$2)</f>
        <v>0</v>
      </c>
      <c r="AS53" s="59">
        <f ca="1">-SUMIFS(logs!$R:$R,logs!$M:$M,'p&amp;l'!$AG53&amp;'p&amp;l'!AS$34,logs!$A:$A,"&lt;="&amp;assumptions!$C$2)</f>
        <v>0</v>
      </c>
      <c r="AT53" s="59">
        <f ca="1">-SUMIFS(logs!$R:$R,logs!$M:$M,'p&amp;l'!$AG53&amp;'p&amp;l'!AT$34,logs!$A:$A,"&lt;="&amp;assumptions!$C$2)</f>
        <v>0</v>
      </c>
      <c r="AU53" s="60">
        <f t="shared" ca="1" si="8"/>
        <v>0</v>
      </c>
    </row>
    <row r="54" spans="1:47" x14ac:dyDescent="0.35">
      <c r="A54" s="56" t="s">
        <v>93</v>
      </c>
      <c r="B54" s="61">
        <f ca="1">SUMIF(logs!$M:$M,'p&amp;l'!$A54&amp;'p&amp;l'!B$34,logs!$W:$W)+AH54</f>
        <v>0</v>
      </c>
      <c r="C54" s="61">
        <f ca="1">SUMIF(logs!$M:$M,'p&amp;l'!$A54&amp;'p&amp;l'!C$34,logs!$W:$W)+AI54</f>
        <v>0</v>
      </c>
      <c r="D54" s="61">
        <f ca="1">SUMIF(logs!$M:$M,'p&amp;l'!$A54&amp;'p&amp;l'!D$34,logs!$W:$W)+AJ54</f>
        <v>0</v>
      </c>
      <c r="E54" s="61">
        <f ca="1">SUMIF(logs!$M:$M,'p&amp;l'!$A54&amp;'p&amp;l'!E$34,logs!$W:$W)+AK54</f>
        <v>0</v>
      </c>
      <c r="F54" s="61">
        <f ca="1">SUMIF(logs!$M:$M,'p&amp;l'!$A54&amp;'p&amp;l'!F$34,logs!$W:$W)+AL54</f>
        <v>0</v>
      </c>
      <c r="G54" s="61">
        <f ca="1">SUMIF(logs!$M:$M,'p&amp;l'!$A54&amp;'p&amp;l'!G$34,logs!$W:$W)+AM54</f>
        <v>0</v>
      </c>
      <c r="H54" s="61">
        <f ca="1">SUMIF(logs!$M:$M,'p&amp;l'!$A54&amp;'p&amp;l'!H$34,logs!$W:$W)+AN54</f>
        <v>0</v>
      </c>
      <c r="I54" s="61">
        <f ca="1">SUMIF(logs!$M:$M,'p&amp;l'!$A54&amp;'p&amp;l'!I$34,logs!$W:$W)+AO54</f>
        <v>0</v>
      </c>
      <c r="J54" s="61">
        <f ca="1">SUMIF(logs!$M:$M,'p&amp;l'!$A54&amp;'p&amp;l'!J$34,logs!$W:$W)+AP54</f>
        <v>0</v>
      </c>
      <c r="K54" s="61">
        <f ca="1">SUMIF(logs!$M:$M,'p&amp;l'!$A54&amp;'p&amp;l'!K$34,logs!$W:$W)+AQ54</f>
        <v>0</v>
      </c>
      <c r="L54" s="61">
        <f ca="1">SUMIF(logs!$M:$M,'p&amp;l'!$A54&amp;'p&amp;l'!L$34,logs!$W:$W)+AR54</f>
        <v>0</v>
      </c>
      <c r="M54" s="61">
        <f ca="1">SUMIF(logs!$M:$M,'p&amp;l'!$A54&amp;'p&amp;l'!M$34,logs!$W:$W)+AS54</f>
        <v>0</v>
      </c>
      <c r="N54" s="61">
        <f ca="1">SUMIF(logs!$M:$M,'p&amp;l'!$A54&amp;'p&amp;l'!N$34,logs!$W:$W)+AT54</f>
        <v>0</v>
      </c>
      <c r="O54" s="62">
        <f t="shared" ca="1" si="6"/>
        <v>0</v>
      </c>
      <c r="Q54" s="56" t="s">
        <v>93</v>
      </c>
      <c r="R54" s="61">
        <f ca="1">B54-SUMIF(logs!$M:$M,'p&amp;l'!$Q54&amp;'p&amp;l'!R$34,logs!$X:$X)</f>
        <v>0</v>
      </c>
      <c r="S54" s="61">
        <f ca="1">C54-SUMIF(logs!$M:$M,'p&amp;l'!$Q54&amp;'p&amp;l'!S$34,logs!$X:$X)</f>
        <v>0</v>
      </c>
      <c r="T54" s="61">
        <f ca="1">D54-SUMIF(logs!$M:$M,'p&amp;l'!$Q54&amp;'p&amp;l'!T$34,logs!$X:$X)</f>
        <v>0</v>
      </c>
      <c r="U54" s="61">
        <f ca="1">E54-SUMIF(logs!$M:$M,'p&amp;l'!$Q54&amp;'p&amp;l'!U$34,logs!$X:$X)</f>
        <v>0</v>
      </c>
      <c r="V54" s="61">
        <f ca="1">F54-SUMIF(logs!$M:$M,'p&amp;l'!$Q54&amp;'p&amp;l'!V$34,logs!$X:$X)</f>
        <v>0</v>
      </c>
      <c r="W54" s="61">
        <f ca="1">G54-SUMIF(logs!$M:$M,'p&amp;l'!$Q54&amp;'p&amp;l'!W$34,logs!$X:$X)</f>
        <v>0</v>
      </c>
      <c r="X54" s="61">
        <f ca="1">H54-SUMIF(logs!$M:$M,'p&amp;l'!$Q54&amp;'p&amp;l'!X$34,logs!$X:$X)</f>
        <v>0</v>
      </c>
      <c r="Y54" s="61">
        <f ca="1">I54-SUMIF(logs!$M:$M,'p&amp;l'!$Q54&amp;'p&amp;l'!Y$34,logs!$X:$X)</f>
        <v>0</v>
      </c>
      <c r="Z54" s="61">
        <f ca="1">J54-SUMIF(logs!$M:$M,'p&amp;l'!$Q54&amp;'p&amp;l'!Z$34,logs!$X:$X)</f>
        <v>0</v>
      </c>
      <c r="AA54" s="61">
        <f ca="1">K54-SUMIF(logs!$M:$M,'p&amp;l'!$Q54&amp;'p&amp;l'!AA$34,logs!$X:$X)</f>
        <v>0</v>
      </c>
      <c r="AB54" s="61">
        <f ca="1">L54-SUMIF(logs!$M:$M,'p&amp;l'!$Q54&amp;'p&amp;l'!AB$34,logs!$X:$X)</f>
        <v>0</v>
      </c>
      <c r="AC54" s="61">
        <f ca="1">M54-SUMIF(logs!$M:$M,'p&amp;l'!$Q54&amp;'p&amp;l'!AC$34,logs!$X:$X)</f>
        <v>0</v>
      </c>
      <c r="AD54" s="61">
        <f ca="1">N54-SUMIF(logs!$M:$M,'p&amp;l'!$Q54&amp;'p&amp;l'!AD$34,logs!$X:$X)</f>
        <v>0</v>
      </c>
      <c r="AE54" s="62">
        <f t="shared" ca="1" si="7"/>
        <v>0</v>
      </c>
      <c r="AG54" s="56" t="s">
        <v>93</v>
      </c>
      <c r="AH54" s="61">
        <f ca="1">-SUMIFS(logs!$R:$R,logs!$M:$M,'p&amp;l'!$AG54&amp;'p&amp;l'!AH$34,logs!$A:$A,"&lt;="&amp;assumptions!$C$2)</f>
        <v>0</v>
      </c>
      <c r="AI54" s="61">
        <f ca="1">-SUMIFS(logs!$R:$R,logs!$M:$M,'p&amp;l'!$AG54&amp;'p&amp;l'!AI$34,logs!$A:$A,"&lt;="&amp;assumptions!$C$2)</f>
        <v>0</v>
      </c>
      <c r="AJ54" s="61">
        <f ca="1">-SUMIFS(logs!$R:$R,logs!$M:$M,'p&amp;l'!$AG54&amp;'p&amp;l'!AJ$34,logs!$A:$A,"&lt;="&amp;assumptions!$C$2)</f>
        <v>0</v>
      </c>
      <c r="AK54" s="61">
        <f ca="1">-SUMIFS(logs!$R:$R,logs!$M:$M,'p&amp;l'!$AG54&amp;'p&amp;l'!AK$34,logs!$A:$A,"&lt;="&amp;assumptions!$C$2)</f>
        <v>0</v>
      </c>
      <c r="AL54" s="61">
        <f ca="1">-SUMIFS(logs!$R:$R,logs!$M:$M,'p&amp;l'!$AG54&amp;'p&amp;l'!AL$34,logs!$A:$A,"&lt;="&amp;assumptions!$C$2)</f>
        <v>0</v>
      </c>
      <c r="AM54" s="61">
        <f ca="1">-SUMIFS(logs!$R:$R,logs!$M:$M,'p&amp;l'!$AG54&amp;'p&amp;l'!AM$34,logs!$A:$A,"&lt;="&amp;assumptions!$C$2)</f>
        <v>0</v>
      </c>
      <c r="AN54" s="61">
        <f ca="1">-SUMIFS(logs!$R:$R,logs!$M:$M,'p&amp;l'!$AG54&amp;'p&amp;l'!AN$34,logs!$A:$A,"&lt;="&amp;assumptions!$C$2)</f>
        <v>0</v>
      </c>
      <c r="AO54" s="61">
        <f ca="1">-SUMIFS(logs!$R:$R,logs!$M:$M,'p&amp;l'!$AG54&amp;'p&amp;l'!AO$34,logs!$A:$A,"&lt;="&amp;assumptions!$C$2)</f>
        <v>0</v>
      </c>
      <c r="AP54" s="61">
        <f ca="1">-SUMIFS(logs!$R:$R,logs!$M:$M,'p&amp;l'!$AG54&amp;'p&amp;l'!AP$34,logs!$A:$A,"&lt;="&amp;assumptions!$C$2)</f>
        <v>0</v>
      </c>
      <c r="AQ54" s="61">
        <f ca="1">-SUMIFS(logs!$R:$R,logs!$M:$M,'p&amp;l'!$AG54&amp;'p&amp;l'!AQ$34,logs!$A:$A,"&lt;="&amp;assumptions!$C$2)</f>
        <v>0</v>
      </c>
      <c r="AR54" s="61">
        <f ca="1">-SUMIFS(logs!$R:$R,logs!$M:$M,'p&amp;l'!$AG54&amp;'p&amp;l'!AR$34,logs!$A:$A,"&lt;="&amp;assumptions!$C$2)</f>
        <v>0</v>
      </c>
      <c r="AS54" s="61">
        <f ca="1">-SUMIFS(logs!$R:$R,logs!$M:$M,'p&amp;l'!$AG54&amp;'p&amp;l'!AS$34,logs!$A:$A,"&lt;="&amp;assumptions!$C$2)</f>
        <v>0</v>
      </c>
      <c r="AT54" s="61">
        <f ca="1">-SUMIFS(logs!$R:$R,logs!$M:$M,'p&amp;l'!$AG54&amp;'p&amp;l'!AT$34,logs!$A:$A,"&lt;="&amp;assumptions!$C$2)</f>
        <v>0</v>
      </c>
      <c r="AU54" s="62">
        <f t="shared" ca="1" si="8"/>
        <v>0</v>
      </c>
    </row>
    <row r="55" spans="1:47" x14ac:dyDescent="0.35">
      <c r="A55" s="44" t="s">
        <v>97</v>
      </c>
      <c r="B55" s="57">
        <f ca="1">SUMIF(logs!$M:$M,'p&amp;l'!$A55&amp;'p&amp;l'!B$34,logs!$W:$W)+AH55</f>
        <v>0</v>
      </c>
      <c r="C55" s="57">
        <f ca="1">SUMIF(logs!$M:$M,'p&amp;l'!$A55&amp;'p&amp;l'!C$34,logs!$W:$W)+AI55</f>
        <v>0</v>
      </c>
      <c r="D55" s="57">
        <f ca="1">SUMIF(logs!$M:$M,'p&amp;l'!$A55&amp;'p&amp;l'!D$34,logs!$W:$W)+AJ55</f>
        <v>-27350.399999999932</v>
      </c>
      <c r="E55" s="57">
        <f ca="1">SUMIF(logs!$M:$M,'p&amp;l'!$A55&amp;'p&amp;l'!E$34,logs!$W:$W)+AK55</f>
        <v>0</v>
      </c>
      <c r="F55" s="57">
        <f ca="1">SUMIF(logs!$M:$M,'p&amp;l'!$A55&amp;'p&amp;l'!F$34,logs!$W:$W)+AL55</f>
        <v>0</v>
      </c>
      <c r="G55" s="57">
        <f ca="1">SUMIF(logs!$M:$M,'p&amp;l'!$A55&amp;'p&amp;l'!G$34,logs!$W:$W)+AM55</f>
        <v>0</v>
      </c>
      <c r="H55" s="57">
        <f ca="1">SUMIF(logs!$M:$M,'p&amp;l'!$A55&amp;'p&amp;l'!H$34,logs!$W:$W)+AN55</f>
        <v>0</v>
      </c>
      <c r="I55" s="57">
        <f ca="1">SUMIF(logs!$M:$M,'p&amp;l'!$A55&amp;'p&amp;l'!I$34,logs!$W:$W)+AO55</f>
        <v>79391.500000000116</v>
      </c>
      <c r="J55" s="57">
        <f ca="1">SUMIF(logs!$M:$M,'p&amp;l'!$A55&amp;'p&amp;l'!J$34,logs!$W:$W)+AP55</f>
        <v>0</v>
      </c>
      <c r="K55" s="57">
        <f ca="1">SUMIF(logs!$M:$M,'p&amp;l'!$A55&amp;'p&amp;l'!K$34,logs!$W:$W)+AQ55</f>
        <v>0</v>
      </c>
      <c r="L55" s="57">
        <f ca="1">SUMIF(logs!$M:$M,'p&amp;l'!$A55&amp;'p&amp;l'!L$34,logs!$W:$W)+AR55</f>
        <v>0</v>
      </c>
      <c r="M55" s="57">
        <f ca="1">SUMIF(logs!$M:$M,'p&amp;l'!$A55&amp;'p&amp;l'!M$34,logs!$W:$W)+AS55</f>
        <v>0</v>
      </c>
      <c r="N55" s="57">
        <f ca="1">SUMIF(logs!$M:$M,'p&amp;l'!$A55&amp;'p&amp;l'!N$34,logs!$W:$W)+AT55</f>
        <v>0</v>
      </c>
      <c r="O55" s="58">
        <f t="shared" ca="1" si="6"/>
        <v>52041.10000000018</v>
      </c>
      <c r="Q55" s="44" t="s">
        <v>97</v>
      </c>
      <c r="R55" s="57">
        <f ca="1">B55-SUMIF(logs!$M:$M,'p&amp;l'!$Q55&amp;'p&amp;l'!R$34,logs!$X:$X)</f>
        <v>0</v>
      </c>
      <c r="S55" s="57">
        <f ca="1">C55-SUMIF(logs!$M:$M,'p&amp;l'!$Q55&amp;'p&amp;l'!S$34,logs!$X:$X)</f>
        <v>0</v>
      </c>
      <c r="T55" s="57">
        <f ca="1">D55-SUMIF(logs!$M:$M,'p&amp;l'!$Q55&amp;'p&amp;l'!T$34,logs!$X:$X)</f>
        <v>82051.200000000012</v>
      </c>
      <c r="U55" s="57">
        <f ca="1">E55-SUMIF(logs!$M:$M,'p&amp;l'!$Q55&amp;'p&amp;l'!U$34,logs!$X:$X)</f>
        <v>0</v>
      </c>
      <c r="V55" s="57">
        <f ca="1">F55-SUMIF(logs!$M:$M,'p&amp;l'!$Q55&amp;'p&amp;l'!V$34,logs!$X:$X)</f>
        <v>0</v>
      </c>
      <c r="W55" s="57">
        <f ca="1">G55-SUMIF(logs!$M:$M,'p&amp;l'!$Q55&amp;'p&amp;l'!W$34,logs!$X:$X)</f>
        <v>0</v>
      </c>
      <c r="X55" s="57">
        <f ca="1">H55-SUMIF(logs!$M:$M,'p&amp;l'!$Q55&amp;'p&amp;l'!X$34,logs!$X:$X)</f>
        <v>0</v>
      </c>
      <c r="Y55" s="57">
        <f ca="1">I55-SUMIF(logs!$M:$M,'p&amp;l'!$Q55&amp;'p&amp;l'!Y$34,logs!$X:$X)</f>
        <v>50865.099999999977</v>
      </c>
      <c r="Z55" s="57">
        <f ca="1">J55-SUMIF(logs!$M:$M,'p&amp;l'!$Q55&amp;'p&amp;l'!Z$34,logs!$X:$X)</f>
        <v>0</v>
      </c>
      <c r="AA55" s="57">
        <f ca="1">K55-SUMIF(logs!$M:$M,'p&amp;l'!$Q55&amp;'p&amp;l'!AA$34,logs!$X:$X)</f>
        <v>0</v>
      </c>
      <c r="AB55" s="57">
        <f ca="1">L55-SUMIF(logs!$M:$M,'p&amp;l'!$Q55&amp;'p&amp;l'!AB$34,logs!$X:$X)</f>
        <v>0</v>
      </c>
      <c r="AC55" s="57">
        <f ca="1">M55-SUMIF(logs!$M:$M,'p&amp;l'!$Q55&amp;'p&amp;l'!AC$34,logs!$X:$X)</f>
        <v>0</v>
      </c>
      <c r="AD55" s="57">
        <f ca="1">N55-SUMIF(logs!$M:$M,'p&amp;l'!$Q55&amp;'p&amp;l'!AD$34,logs!$X:$X)</f>
        <v>0</v>
      </c>
      <c r="AE55" s="58">
        <f t="shared" ca="1" si="7"/>
        <v>132916.29999999999</v>
      </c>
      <c r="AG55" s="44" t="s">
        <v>97</v>
      </c>
      <c r="AH55" s="57">
        <f ca="1">-SUMIFS(logs!$R:$R,logs!$M:$M,'p&amp;l'!$AG55&amp;'p&amp;l'!AH$34,logs!$A:$A,"&lt;="&amp;assumptions!$C$2)</f>
        <v>0</v>
      </c>
      <c r="AI55" s="57">
        <f ca="1">-SUMIFS(logs!$R:$R,logs!$M:$M,'p&amp;l'!$AG55&amp;'p&amp;l'!AI$34,logs!$A:$A,"&lt;="&amp;assumptions!$C$2)</f>
        <v>0</v>
      </c>
      <c r="AJ55" s="57">
        <f ca="1">-SUMIFS(logs!$R:$R,logs!$M:$M,'p&amp;l'!$AG55&amp;'p&amp;l'!AJ$34,logs!$A:$A,"&lt;="&amp;assumptions!$C$2)</f>
        <v>0</v>
      </c>
      <c r="AK55" s="57">
        <f ca="1">-SUMIFS(logs!$R:$R,logs!$M:$M,'p&amp;l'!$AG55&amp;'p&amp;l'!AK$34,logs!$A:$A,"&lt;="&amp;assumptions!$C$2)</f>
        <v>0</v>
      </c>
      <c r="AL55" s="57">
        <f ca="1">-SUMIFS(logs!$R:$R,logs!$M:$M,'p&amp;l'!$AG55&amp;'p&amp;l'!AL$34,logs!$A:$A,"&lt;="&amp;assumptions!$C$2)</f>
        <v>0</v>
      </c>
      <c r="AM55" s="57">
        <f ca="1">-SUMIFS(logs!$R:$R,logs!$M:$M,'p&amp;l'!$AG55&amp;'p&amp;l'!AM$34,logs!$A:$A,"&lt;="&amp;assumptions!$C$2)</f>
        <v>0</v>
      </c>
      <c r="AN55" s="57">
        <f ca="1">-SUMIFS(logs!$R:$R,logs!$M:$M,'p&amp;l'!$AG55&amp;'p&amp;l'!AN$34,logs!$A:$A,"&lt;="&amp;assumptions!$C$2)</f>
        <v>0</v>
      </c>
      <c r="AO55" s="57">
        <f ca="1">-SUMIFS(logs!$R:$R,logs!$M:$M,'p&amp;l'!$AG55&amp;'p&amp;l'!AO$34,logs!$A:$A,"&lt;="&amp;assumptions!$C$2)</f>
        <v>-16.5</v>
      </c>
      <c r="AP55" s="57">
        <f ca="1">-SUMIFS(logs!$R:$R,logs!$M:$M,'p&amp;l'!$AG55&amp;'p&amp;l'!AP$34,logs!$A:$A,"&lt;="&amp;assumptions!$C$2)</f>
        <v>0</v>
      </c>
      <c r="AQ55" s="57">
        <f ca="1">-SUMIFS(logs!$R:$R,logs!$M:$M,'p&amp;l'!$AG55&amp;'p&amp;l'!AQ$34,logs!$A:$A,"&lt;="&amp;assumptions!$C$2)</f>
        <v>0</v>
      </c>
      <c r="AR55" s="57">
        <f ca="1">-SUMIFS(logs!$R:$R,logs!$M:$M,'p&amp;l'!$AG55&amp;'p&amp;l'!AR$34,logs!$A:$A,"&lt;="&amp;assumptions!$C$2)</f>
        <v>0</v>
      </c>
      <c r="AS55" s="57">
        <f ca="1">-SUMIFS(logs!$R:$R,logs!$M:$M,'p&amp;l'!$AG55&amp;'p&amp;l'!AS$34,logs!$A:$A,"&lt;="&amp;assumptions!$C$2)</f>
        <v>0</v>
      </c>
      <c r="AT55" s="57">
        <f ca="1">-SUMIFS(logs!$R:$R,logs!$M:$M,'p&amp;l'!$AG55&amp;'p&amp;l'!AT$34,logs!$A:$A,"&lt;="&amp;assumptions!$C$2)</f>
        <v>0</v>
      </c>
      <c r="AU55" s="58">
        <f t="shared" ca="1" si="8"/>
        <v>-16.5</v>
      </c>
    </row>
    <row r="56" spans="1:47" x14ac:dyDescent="0.35">
      <c r="A56" s="44" t="s">
        <v>160</v>
      </c>
      <c r="B56" s="57">
        <f ca="1">SUMIF(logs!$M:$M,'p&amp;l'!$A56&amp;'p&amp;l'!B$34,logs!$W:$W)+AH56</f>
        <v>0</v>
      </c>
      <c r="C56" s="57">
        <f ca="1">SUMIF(logs!$M:$M,'p&amp;l'!$A56&amp;'p&amp;l'!C$34,logs!$W:$W)+AI56</f>
        <v>0</v>
      </c>
      <c r="D56" s="57">
        <f ca="1">SUMIF(logs!$M:$M,'p&amp;l'!$A56&amp;'p&amp;l'!D$34,logs!$W:$W)+AJ56</f>
        <v>0</v>
      </c>
      <c r="E56" s="57">
        <f ca="1">SUMIF(logs!$M:$M,'p&amp;l'!$A56&amp;'p&amp;l'!E$34,logs!$W:$W)+AK56</f>
        <v>0</v>
      </c>
      <c r="F56" s="57">
        <f ca="1">SUMIF(logs!$M:$M,'p&amp;l'!$A56&amp;'p&amp;l'!F$34,logs!$W:$W)+AL56</f>
        <v>0</v>
      </c>
      <c r="G56" s="57">
        <f ca="1">SUMIF(logs!$M:$M,'p&amp;l'!$A56&amp;'p&amp;l'!G$34,logs!$W:$W)+AM56</f>
        <v>0</v>
      </c>
      <c r="H56" s="57">
        <f ca="1">SUMIF(logs!$M:$M,'p&amp;l'!$A56&amp;'p&amp;l'!H$34,logs!$W:$W)+AN56</f>
        <v>0</v>
      </c>
      <c r="I56" s="57">
        <f ca="1">SUMIF(logs!$M:$M,'p&amp;l'!$A56&amp;'p&amp;l'!I$34,logs!$W:$W)+AO56</f>
        <v>0</v>
      </c>
      <c r="J56" s="57">
        <f ca="1">SUMIF(logs!$M:$M,'p&amp;l'!$A56&amp;'p&amp;l'!J$34,logs!$W:$W)+AP56</f>
        <v>0</v>
      </c>
      <c r="K56" s="57">
        <f ca="1">SUMIF(logs!$M:$M,'p&amp;l'!$A56&amp;'p&amp;l'!K$34,logs!$W:$W)+AQ56</f>
        <v>0</v>
      </c>
      <c r="L56" s="57">
        <f ca="1">SUMIF(logs!$M:$M,'p&amp;l'!$A56&amp;'p&amp;l'!L$34,logs!$W:$W)+AR56</f>
        <v>0</v>
      </c>
      <c r="M56" s="57">
        <f ca="1">SUMIF(logs!$M:$M,'p&amp;l'!$A56&amp;'p&amp;l'!M$34,logs!$W:$W)+AS56</f>
        <v>0</v>
      </c>
      <c r="N56" s="57">
        <f ca="1">SUMIF(logs!$M:$M,'p&amp;l'!$A56&amp;'p&amp;l'!N$34,logs!$W:$W)+AT56</f>
        <v>0</v>
      </c>
      <c r="O56" s="58">
        <f t="shared" ca="1" si="6"/>
        <v>0</v>
      </c>
      <c r="Q56" s="44" t="s">
        <v>160</v>
      </c>
      <c r="R56" s="57">
        <f ca="1">B56-SUMIF(logs!$M:$M,'p&amp;l'!$Q56&amp;'p&amp;l'!R$34,logs!$X:$X)</f>
        <v>0</v>
      </c>
      <c r="S56" s="57">
        <f ca="1">C56-SUMIF(logs!$M:$M,'p&amp;l'!$Q56&amp;'p&amp;l'!S$34,logs!$X:$X)</f>
        <v>0</v>
      </c>
      <c r="T56" s="57">
        <f ca="1">D56-SUMIF(logs!$M:$M,'p&amp;l'!$Q56&amp;'p&amp;l'!T$34,logs!$X:$X)</f>
        <v>0</v>
      </c>
      <c r="U56" s="57">
        <f ca="1">E56-SUMIF(logs!$M:$M,'p&amp;l'!$Q56&amp;'p&amp;l'!U$34,logs!$X:$X)</f>
        <v>0</v>
      </c>
      <c r="V56" s="57">
        <f ca="1">F56-SUMIF(logs!$M:$M,'p&amp;l'!$Q56&amp;'p&amp;l'!V$34,logs!$X:$X)</f>
        <v>0</v>
      </c>
      <c r="W56" s="57">
        <f ca="1">G56-SUMIF(logs!$M:$M,'p&amp;l'!$Q56&amp;'p&amp;l'!W$34,logs!$X:$X)</f>
        <v>0</v>
      </c>
      <c r="X56" s="57">
        <f ca="1">H56-SUMIF(logs!$M:$M,'p&amp;l'!$Q56&amp;'p&amp;l'!X$34,logs!$X:$X)</f>
        <v>0</v>
      </c>
      <c r="Y56" s="57">
        <f ca="1">I56-SUMIF(logs!$M:$M,'p&amp;l'!$Q56&amp;'p&amp;l'!Y$34,logs!$X:$X)</f>
        <v>0</v>
      </c>
      <c r="Z56" s="57">
        <f ca="1">J56-SUMIF(logs!$M:$M,'p&amp;l'!$Q56&amp;'p&amp;l'!Z$34,logs!$X:$X)</f>
        <v>0</v>
      </c>
      <c r="AA56" s="57">
        <f ca="1">K56-SUMIF(logs!$M:$M,'p&amp;l'!$Q56&amp;'p&amp;l'!AA$34,logs!$X:$X)</f>
        <v>0</v>
      </c>
      <c r="AB56" s="57">
        <f ca="1">L56-SUMIF(logs!$M:$M,'p&amp;l'!$Q56&amp;'p&amp;l'!AB$34,logs!$X:$X)</f>
        <v>0</v>
      </c>
      <c r="AC56" s="57">
        <f ca="1">M56-SUMIF(logs!$M:$M,'p&amp;l'!$Q56&amp;'p&amp;l'!AC$34,logs!$X:$X)</f>
        <v>0</v>
      </c>
      <c r="AD56" s="57">
        <f ca="1">N56-SUMIF(logs!$M:$M,'p&amp;l'!$Q56&amp;'p&amp;l'!AD$34,logs!$X:$X)</f>
        <v>0</v>
      </c>
      <c r="AE56" s="58">
        <f t="shared" ca="1" si="7"/>
        <v>0</v>
      </c>
      <c r="AG56" s="44" t="s">
        <v>160</v>
      </c>
      <c r="AH56" s="57">
        <f ca="1">-SUMIFS(logs!$R:$R,logs!$M:$M,'p&amp;l'!$AG56&amp;'p&amp;l'!AH$34,logs!$A:$A,"&lt;="&amp;assumptions!$C$2)</f>
        <v>0</v>
      </c>
      <c r="AI56" s="57">
        <f ca="1">-SUMIFS(logs!$R:$R,logs!$M:$M,'p&amp;l'!$AG56&amp;'p&amp;l'!AI$34,logs!$A:$A,"&lt;="&amp;assumptions!$C$2)</f>
        <v>0</v>
      </c>
      <c r="AJ56" s="57">
        <f ca="1">-SUMIFS(logs!$R:$R,logs!$M:$M,'p&amp;l'!$AG56&amp;'p&amp;l'!AJ$34,logs!$A:$A,"&lt;="&amp;assumptions!$C$2)</f>
        <v>0</v>
      </c>
      <c r="AK56" s="57">
        <f ca="1">-SUMIFS(logs!$R:$R,logs!$M:$M,'p&amp;l'!$AG56&amp;'p&amp;l'!AK$34,logs!$A:$A,"&lt;="&amp;assumptions!$C$2)</f>
        <v>0</v>
      </c>
      <c r="AL56" s="57">
        <f ca="1">-SUMIFS(logs!$R:$R,logs!$M:$M,'p&amp;l'!$AG56&amp;'p&amp;l'!AL$34,logs!$A:$A,"&lt;="&amp;assumptions!$C$2)</f>
        <v>0</v>
      </c>
      <c r="AM56" s="57">
        <f ca="1">-SUMIFS(logs!$R:$R,logs!$M:$M,'p&amp;l'!$AG56&amp;'p&amp;l'!AM$34,logs!$A:$A,"&lt;="&amp;assumptions!$C$2)</f>
        <v>0</v>
      </c>
      <c r="AN56" s="57">
        <f ca="1">-SUMIFS(logs!$R:$R,logs!$M:$M,'p&amp;l'!$AG56&amp;'p&amp;l'!AN$34,logs!$A:$A,"&lt;="&amp;assumptions!$C$2)</f>
        <v>0</v>
      </c>
      <c r="AO56" s="57">
        <f ca="1">-SUMIFS(logs!$R:$R,logs!$M:$M,'p&amp;l'!$AG56&amp;'p&amp;l'!AO$34,logs!$A:$A,"&lt;="&amp;assumptions!$C$2)</f>
        <v>0</v>
      </c>
      <c r="AP56" s="57">
        <f ca="1">-SUMIFS(logs!$R:$R,logs!$M:$M,'p&amp;l'!$AG56&amp;'p&amp;l'!AP$34,logs!$A:$A,"&lt;="&amp;assumptions!$C$2)</f>
        <v>0</v>
      </c>
      <c r="AQ56" s="57">
        <f ca="1">-SUMIFS(logs!$R:$R,logs!$M:$M,'p&amp;l'!$AG56&amp;'p&amp;l'!AQ$34,logs!$A:$A,"&lt;="&amp;assumptions!$C$2)</f>
        <v>0</v>
      </c>
      <c r="AR56" s="57">
        <f ca="1">-SUMIFS(logs!$R:$R,logs!$M:$M,'p&amp;l'!$AG56&amp;'p&amp;l'!AR$34,logs!$A:$A,"&lt;="&amp;assumptions!$C$2)</f>
        <v>0</v>
      </c>
      <c r="AS56" s="57">
        <f ca="1">-SUMIFS(logs!$R:$R,logs!$M:$M,'p&amp;l'!$AG56&amp;'p&amp;l'!AS$34,logs!$A:$A,"&lt;="&amp;assumptions!$C$2)</f>
        <v>0</v>
      </c>
      <c r="AT56" s="57">
        <f ca="1">-SUMIFS(logs!$R:$R,logs!$M:$M,'p&amp;l'!$AG56&amp;'p&amp;l'!AT$34,logs!$A:$A,"&lt;="&amp;assumptions!$C$2)</f>
        <v>0</v>
      </c>
      <c r="AU56" s="58">
        <f t="shared" ca="1" si="8"/>
        <v>0</v>
      </c>
    </row>
    <row r="57" spans="1:47" x14ac:dyDescent="0.35">
      <c r="A57" s="45" t="s">
        <v>103</v>
      </c>
      <c r="B57" s="59">
        <f ca="1">SUMIF(logs!$M:$M,'p&amp;l'!$A57&amp;'p&amp;l'!B$34,logs!$W:$W)+AH57</f>
        <v>0</v>
      </c>
      <c r="C57" s="59">
        <f ca="1">SUMIF(logs!$M:$M,'p&amp;l'!$A57&amp;'p&amp;l'!C$34,logs!$W:$W)+AI57</f>
        <v>0</v>
      </c>
      <c r="D57" s="59">
        <f ca="1">SUMIF(logs!$M:$M,'p&amp;l'!$A57&amp;'p&amp;l'!D$34,logs!$W:$W)+AJ57</f>
        <v>0</v>
      </c>
      <c r="E57" s="59">
        <f ca="1">SUMIF(logs!$M:$M,'p&amp;l'!$A57&amp;'p&amp;l'!E$34,logs!$W:$W)+AK57</f>
        <v>0</v>
      </c>
      <c r="F57" s="59">
        <f ca="1">SUMIF(logs!$M:$M,'p&amp;l'!$A57&amp;'p&amp;l'!F$34,logs!$W:$W)+AL57</f>
        <v>0</v>
      </c>
      <c r="G57" s="59">
        <f ca="1">SUMIF(logs!$M:$M,'p&amp;l'!$A57&amp;'p&amp;l'!G$34,logs!$W:$W)+AM57</f>
        <v>0</v>
      </c>
      <c r="H57" s="59">
        <f ca="1">SUMIF(logs!$M:$M,'p&amp;l'!$A57&amp;'p&amp;l'!H$34,logs!$W:$W)+AN57</f>
        <v>0</v>
      </c>
      <c r="I57" s="59">
        <f ca="1">SUMIF(logs!$M:$M,'p&amp;l'!$A57&amp;'p&amp;l'!I$34,logs!$W:$W)+AO57</f>
        <v>0</v>
      </c>
      <c r="J57" s="59">
        <f ca="1">SUMIF(logs!$M:$M,'p&amp;l'!$A57&amp;'p&amp;l'!J$34,logs!$W:$W)+AP57</f>
        <v>0</v>
      </c>
      <c r="K57" s="59">
        <f ca="1">SUMIF(logs!$M:$M,'p&amp;l'!$A57&amp;'p&amp;l'!K$34,logs!$W:$W)+AQ57</f>
        <v>0</v>
      </c>
      <c r="L57" s="59">
        <f ca="1">SUMIF(logs!$M:$M,'p&amp;l'!$A57&amp;'p&amp;l'!L$34,logs!$W:$W)+AR57</f>
        <v>0</v>
      </c>
      <c r="M57" s="59">
        <f ca="1">SUMIF(logs!$M:$M,'p&amp;l'!$A57&amp;'p&amp;l'!M$34,logs!$W:$W)+AS57</f>
        <v>0</v>
      </c>
      <c r="N57" s="59">
        <f ca="1">SUMIF(logs!$M:$M,'p&amp;l'!$A57&amp;'p&amp;l'!N$34,logs!$W:$W)+AT57</f>
        <v>0</v>
      </c>
      <c r="O57" s="60">
        <f t="shared" ca="1" si="6"/>
        <v>0</v>
      </c>
      <c r="Q57" s="45" t="s">
        <v>103</v>
      </c>
      <c r="R57" s="59">
        <f ca="1">B57-SUMIF(logs!$M:$M,'p&amp;l'!$Q57&amp;'p&amp;l'!R$34,logs!$X:$X)</f>
        <v>0</v>
      </c>
      <c r="S57" s="59">
        <f ca="1">C57-SUMIF(logs!$M:$M,'p&amp;l'!$Q57&amp;'p&amp;l'!S$34,logs!$X:$X)</f>
        <v>0</v>
      </c>
      <c r="T57" s="59">
        <f ca="1">D57-SUMIF(logs!$M:$M,'p&amp;l'!$Q57&amp;'p&amp;l'!T$34,logs!$X:$X)</f>
        <v>0</v>
      </c>
      <c r="U57" s="59">
        <f ca="1">E57-SUMIF(logs!$M:$M,'p&amp;l'!$Q57&amp;'p&amp;l'!U$34,logs!$X:$X)</f>
        <v>0</v>
      </c>
      <c r="V57" s="59">
        <f ca="1">F57-SUMIF(logs!$M:$M,'p&amp;l'!$Q57&amp;'p&amp;l'!V$34,logs!$X:$X)</f>
        <v>0</v>
      </c>
      <c r="W57" s="59">
        <f ca="1">G57-SUMIF(logs!$M:$M,'p&amp;l'!$Q57&amp;'p&amp;l'!W$34,logs!$X:$X)</f>
        <v>0</v>
      </c>
      <c r="X57" s="59">
        <f ca="1">H57-SUMIF(logs!$M:$M,'p&amp;l'!$Q57&amp;'p&amp;l'!X$34,logs!$X:$X)</f>
        <v>0</v>
      </c>
      <c r="Y57" s="59">
        <f ca="1">I57-SUMIF(logs!$M:$M,'p&amp;l'!$Q57&amp;'p&amp;l'!Y$34,logs!$X:$X)</f>
        <v>0</v>
      </c>
      <c r="Z57" s="59">
        <f ca="1">J57-SUMIF(logs!$M:$M,'p&amp;l'!$Q57&amp;'p&amp;l'!Z$34,logs!$X:$X)</f>
        <v>0</v>
      </c>
      <c r="AA57" s="59">
        <f ca="1">K57-SUMIF(logs!$M:$M,'p&amp;l'!$Q57&amp;'p&amp;l'!AA$34,logs!$X:$X)</f>
        <v>0</v>
      </c>
      <c r="AB57" s="59">
        <f ca="1">L57-SUMIF(logs!$M:$M,'p&amp;l'!$Q57&amp;'p&amp;l'!AB$34,logs!$X:$X)</f>
        <v>0</v>
      </c>
      <c r="AC57" s="59">
        <f ca="1">M57-SUMIF(logs!$M:$M,'p&amp;l'!$Q57&amp;'p&amp;l'!AC$34,logs!$X:$X)</f>
        <v>0</v>
      </c>
      <c r="AD57" s="59">
        <f ca="1">N57-SUMIF(logs!$M:$M,'p&amp;l'!$Q57&amp;'p&amp;l'!AD$34,logs!$X:$X)</f>
        <v>0</v>
      </c>
      <c r="AE57" s="60">
        <f t="shared" ca="1" si="7"/>
        <v>0</v>
      </c>
      <c r="AG57" s="45" t="s">
        <v>103</v>
      </c>
      <c r="AH57" s="59">
        <f ca="1">-SUMIFS(logs!$R:$R,logs!$M:$M,'p&amp;l'!$AG57&amp;'p&amp;l'!AH$34,logs!$A:$A,"&lt;="&amp;assumptions!$C$2)</f>
        <v>0</v>
      </c>
      <c r="AI57" s="59">
        <f ca="1">-SUMIFS(logs!$R:$R,logs!$M:$M,'p&amp;l'!$AG57&amp;'p&amp;l'!AI$34,logs!$A:$A,"&lt;="&amp;assumptions!$C$2)</f>
        <v>0</v>
      </c>
      <c r="AJ57" s="59">
        <f ca="1">-SUMIFS(logs!$R:$R,logs!$M:$M,'p&amp;l'!$AG57&amp;'p&amp;l'!AJ$34,logs!$A:$A,"&lt;="&amp;assumptions!$C$2)</f>
        <v>0</v>
      </c>
      <c r="AK57" s="59">
        <f ca="1">-SUMIFS(logs!$R:$R,logs!$M:$M,'p&amp;l'!$AG57&amp;'p&amp;l'!AK$34,logs!$A:$A,"&lt;="&amp;assumptions!$C$2)</f>
        <v>0</v>
      </c>
      <c r="AL57" s="59">
        <f ca="1">-SUMIFS(logs!$R:$R,logs!$M:$M,'p&amp;l'!$AG57&amp;'p&amp;l'!AL$34,logs!$A:$A,"&lt;="&amp;assumptions!$C$2)</f>
        <v>0</v>
      </c>
      <c r="AM57" s="59">
        <f ca="1">-SUMIFS(logs!$R:$R,logs!$M:$M,'p&amp;l'!$AG57&amp;'p&amp;l'!AM$34,logs!$A:$A,"&lt;="&amp;assumptions!$C$2)</f>
        <v>0</v>
      </c>
      <c r="AN57" s="59">
        <f ca="1">-SUMIFS(logs!$R:$R,logs!$M:$M,'p&amp;l'!$AG57&amp;'p&amp;l'!AN$34,logs!$A:$A,"&lt;="&amp;assumptions!$C$2)</f>
        <v>0</v>
      </c>
      <c r="AO57" s="59">
        <f ca="1">-SUMIFS(logs!$R:$R,logs!$M:$M,'p&amp;l'!$AG57&amp;'p&amp;l'!AO$34,logs!$A:$A,"&lt;="&amp;assumptions!$C$2)</f>
        <v>0</v>
      </c>
      <c r="AP57" s="59">
        <f ca="1">-SUMIFS(logs!$R:$R,logs!$M:$M,'p&amp;l'!$AG57&amp;'p&amp;l'!AP$34,logs!$A:$A,"&lt;="&amp;assumptions!$C$2)</f>
        <v>0</v>
      </c>
      <c r="AQ57" s="59">
        <f ca="1">-SUMIFS(logs!$R:$R,logs!$M:$M,'p&amp;l'!$AG57&amp;'p&amp;l'!AQ$34,logs!$A:$A,"&lt;="&amp;assumptions!$C$2)</f>
        <v>0</v>
      </c>
      <c r="AR57" s="59">
        <f ca="1">-SUMIFS(logs!$R:$R,logs!$M:$M,'p&amp;l'!$AG57&amp;'p&amp;l'!AR$34,logs!$A:$A,"&lt;="&amp;assumptions!$C$2)</f>
        <v>0</v>
      </c>
      <c r="AS57" s="59">
        <f ca="1">-SUMIFS(logs!$R:$R,logs!$M:$M,'p&amp;l'!$AG57&amp;'p&amp;l'!AS$34,logs!$A:$A,"&lt;="&amp;assumptions!$C$2)</f>
        <v>0</v>
      </c>
      <c r="AT57" s="59">
        <f ca="1">-SUMIFS(logs!$R:$R,logs!$M:$M,'p&amp;l'!$AG57&amp;'p&amp;l'!AT$34,logs!$A:$A,"&lt;="&amp;assumptions!$C$2)</f>
        <v>0</v>
      </c>
      <c r="AU57" s="60">
        <f t="shared" ca="1" si="8"/>
        <v>0</v>
      </c>
    </row>
    <row r="58" spans="1:47" x14ac:dyDescent="0.35">
      <c r="A58" s="56" t="s">
        <v>107</v>
      </c>
      <c r="B58" s="61">
        <f ca="1">SUMIF(logs!$M:$M,'p&amp;l'!$A58&amp;'p&amp;l'!B$34,logs!$W:$W)+AH58</f>
        <v>0</v>
      </c>
      <c r="C58" s="61">
        <f ca="1">SUMIF(logs!$M:$M,'p&amp;l'!$A58&amp;'p&amp;l'!C$34,logs!$W:$W)+AI58</f>
        <v>-159000</v>
      </c>
      <c r="D58" s="61">
        <f ca="1">SUMIF(logs!$M:$M,'p&amp;l'!$A58&amp;'p&amp;l'!D$34,logs!$W:$W)+AJ58</f>
        <v>0</v>
      </c>
      <c r="E58" s="61">
        <f ca="1">SUMIF(logs!$M:$M,'p&amp;l'!$A58&amp;'p&amp;l'!E$34,logs!$W:$W)+AK58</f>
        <v>367912</v>
      </c>
      <c r="F58" s="61">
        <f ca="1">SUMIF(logs!$M:$M,'p&amp;l'!$A58&amp;'p&amp;l'!F$34,logs!$W:$W)+AL58</f>
        <v>0</v>
      </c>
      <c r="G58" s="61">
        <f ca="1">SUMIF(logs!$M:$M,'p&amp;l'!$A58&amp;'p&amp;l'!G$34,logs!$W:$W)+AM58</f>
        <v>0</v>
      </c>
      <c r="H58" s="61">
        <f ca="1">SUMIF(logs!$M:$M,'p&amp;l'!$A58&amp;'p&amp;l'!H$34,logs!$W:$W)+AN58</f>
        <v>0</v>
      </c>
      <c r="I58" s="61">
        <f ca="1">SUMIF(logs!$M:$M,'p&amp;l'!$A58&amp;'p&amp;l'!I$34,logs!$W:$W)+AO58</f>
        <v>0</v>
      </c>
      <c r="J58" s="61">
        <f ca="1">SUMIF(logs!$M:$M,'p&amp;l'!$A58&amp;'p&amp;l'!J$34,logs!$W:$W)+AP58</f>
        <v>0</v>
      </c>
      <c r="K58" s="61">
        <f ca="1">SUMIF(logs!$M:$M,'p&amp;l'!$A58&amp;'p&amp;l'!K$34,logs!$W:$W)+AQ58</f>
        <v>44967</v>
      </c>
      <c r="L58" s="61">
        <f ca="1">SUMIF(logs!$M:$M,'p&amp;l'!$A58&amp;'p&amp;l'!L$34,logs!$W:$W)+AR58</f>
        <v>0</v>
      </c>
      <c r="M58" s="61">
        <f ca="1">SUMIF(logs!$M:$M,'p&amp;l'!$A58&amp;'p&amp;l'!M$34,logs!$W:$W)+AS58</f>
        <v>0</v>
      </c>
      <c r="N58" s="61">
        <f ca="1">SUMIF(logs!$M:$M,'p&amp;l'!$A58&amp;'p&amp;l'!N$34,logs!$W:$W)+AT58</f>
        <v>0</v>
      </c>
      <c r="O58" s="62">
        <f t="shared" ca="1" si="6"/>
        <v>253879</v>
      </c>
      <c r="Q58" s="56" t="s">
        <v>107</v>
      </c>
      <c r="R58" s="61">
        <f ca="1">B58-SUMIF(logs!$M:$M,'p&amp;l'!$Q58&amp;'p&amp;l'!R$34,logs!$X:$X)</f>
        <v>0</v>
      </c>
      <c r="S58" s="61">
        <f ca="1">C58-SUMIF(logs!$M:$M,'p&amp;l'!$Q58&amp;'p&amp;l'!S$34,logs!$X:$X)</f>
        <v>-67000</v>
      </c>
      <c r="T58" s="61">
        <f ca="1">D58-SUMIF(logs!$M:$M,'p&amp;l'!$Q58&amp;'p&amp;l'!T$34,logs!$X:$X)</f>
        <v>0</v>
      </c>
      <c r="U58" s="61">
        <f ca="1">E58-SUMIF(logs!$M:$M,'p&amp;l'!$Q58&amp;'p&amp;l'!U$34,logs!$X:$X)</f>
        <v>239912</v>
      </c>
      <c r="V58" s="61">
        <f ca="1">F58-SUMIF(logs!$M:$M,'p&amp;l'!$Q58&amp;'p&amp;l'!V$34,logs!$X:$X)</f>
        <v>0</v>
      </c>
      <c r="W58" s="61">
        <f ca="1">G58-SUMIF(logs!$M:$M,'p&amp;l'!$Q58&amp;'p&amp;l'!W$34,logs!$X:$X)</f>
        <v>0</v>
      </c>
      <c r="X58" s="61">
        <f ca="1">H58-SUMIF(logs!$M:$M,'p&amp;l'!$Q58&amp;'p&amp;l'!X$34,logs!$X:$X)</f>
        <v>0</v>
      </c>
      <c r="Y58" s="61">
        <f ca="1">I58-SUMIF(logs!$M:$M,'p&amp;l'!$Q58&amp;'p&amp;l'!Y$34,logs!$X:$X)</f>
        <v>0</v>
      </c>
      <c r="Z58" s="61">
        <f ca="1">J58-SUMIF(logs!$M:$M,'p&amp;l'!$Q58&amp;'p&amp;l'!Z$34,logs!$X:$X)</f>
        <v>0</v>
      </c>
      <c r="AA58" s="61">
        <f ca="1">K58-SUMIF(logs!$M:$M,'p&amp;l'!$Q58&amp;'p&amp;l'!AA$34,logs!$X:$X)</f>
        <v>-6033</v>
      </c>
      <c r="AB58" s="61">
        <f ca="1">L58-SUMIF(logs!$M:$M,'p&amp;l'!$Q58&amp;'p&amp;l'!AB$34,logs!$X:$X)</f>
        <v>0</v>
      </c>
      <c r="AC58" s="61">
        <f ca="1">M58-SUMIF(logs!$M:$M,'p&amp;l'!$Q58&amp;'p&amp;l'!AC$34,logs!$X:$X)</f>
        <v>0</v>
      </c>
      <c r="AD58" s="61">
        <f ca="1">N58-SUMIF(logs!$M:$M,'p&amp;l'!$Q58&amp;'p&amp;l'!AD$34,logs!$X:$X)</f>
        <v>0</v>
      </c>
      <c r="AE58" s="62">
        <f t="shared" ca="1" si="7"/>
        <v>166879</v>
      </c>
      <c r="AG58" s="56" t="s">
        <v>107</v>
      </c>
      <c r="AH58" s="61">
        <f ca="1">-SUMIFS(logs!$R:$R,logs!$M:$M,'p&amp;l'!$AG58&amp;'p&amp;l'!AH$34,logs!$A:$A,"&lt;="&amp;assumptions!$C$2)</f>
        <v>0</v>
      </c>
      <c r="AI58" s="61">
        <f ca="1">-SUMIFS(logs!$R:$R,logs!$M:$M,'p&amp;l'!$AG58&amp;'p&amp;l'!AI$34,logs!$A:$A,"&lt;="&amp;assumptions!$C$2)</f>
        <v>0</v>
      </c>
      <c r="AJ58" s="61">
        <f ca="1">-SUMIFS(logs!$R:$R,logs!$M:$M,'p&amp;l'!$AG58&amp;'p&amp;l'!AJ$34,logs!$A:$A,"&lt;="&amp;assumptions!$C$2)</f>
        <v>0</v>
      </c>
      <c r="AK58" s="61">
        <f ca="1">-SUMIFS(logs!$R:$R,logs!$M:$M,'p&amp;l'!$AG58&amp;'p&amp;l'!AK$34,logs!$A:$A,"&lt;="&amp;assumptions!$C$2)</f>
        <v>-88</v>
      </c>
      <c r="AL58" s="61">
        <f ca="1">-SUMIFS(logs!$R:$R,logs!$M:$M,'p&amp;l'!$AG58&amp;'p&amp;l'!AL$34,logs!$A:$A,"&lt;="&amp;assumptions!$C$2)</f>
        <v>0</v>
      </c>
      <c r="AM58" s="61">
        <f ca="1">-SUMIFS(logs!$R:$R,logs!$M:$M,'p&amp;l'!$AG58&amp;'p&amp;l'!AM$34,logs!$A:$A,"&lt;="&amp;assumptions!$C$2)</f>
        <v>0</v>
      </c>
      <c r="AN58" s="61">
        <f ca="1">-SUMIFS(logs!$R:$R,logs!$M:$M,'p&amp;l'!$AG58&amp;'p&amp;l'!AN$34,logs!$A:$A,"&lt;="&amp;assumptions!$C$2)</f>
        <v>0</v>
      </c>
      <c r="AO58" s="61">
        <f ca="1">-SUMIFS(logs!$R:$R,logs!$M:$M,'p&amp;l'!$AG58&amp;'p&amp;l'!AO$34,logs!$A:$A,"&lt;="&amp;assumptions!$C$2)</f>
        <v>0</v>
      </c>
      <c r="AP58" s="61">
        <f ca="1">-SUMIFS(logs!$R:$R,logs!$M:$M,'p&amp;l'!$AG58&amp;'p&amp;l'!AP$34,logs!$A:$A,"&lt;="&amp;assumptions!$C$2)</f>
        <v>0</v>
      </c>
      <c r="AQ58" s="61">
        <f ca="1">-SUMIFS(logs!$R:$R,logs!$M:$M,'p&amp;l'!$AG58&amp;'p&amp;l'!AQ$34,logs!$A:$A,"&lt;="&amp;assumptions!$C$2)</f>
        <v>-33</v>
      </c>
      <c r="AR58" s="61">
        <f ca="1">-SUMIFS(logs!$R:$R,logs!$M:$M,'p&amp;l'!$AG58&amp;'p&amp;l'!AR$34,logs!$A:$A,"&lt;="&amp;assumptions!$C$2)</f>
        <v>0</v>
      </c>
      <c r="AS58" s="61">
        <f ca="1">-SUMIFS(logs!$R:$R,logs!$M:$M,'p&amp;l'!$AG58&amp;'p&amp;l'!AS$34,logs!$A:$A,"&lt;="&amp;assumptions!$C$2)</f>
        <v>0</v>
      </c>
      <c r="AT58" s="61">
        <f ca="1">-SUMIFS(logs!$R:$R,logs!$M:$M,'p&amp;l'!$AG58&amp;'p&amp;l'!AT$34,logs!$A:$A,"&lt;="&amp;assumptions!$C$2)</f>
        <v>0</v>
      </c>
      <c r="AU58" s="62">
        <f t="shared" ca="1" si="8"/>
        <v>-121</v>
      </c>
    </row>
    <row r="59" spans="1:47" x14ac:dyDescent="0.35">
      <c r="A59" s="44" t="s">
        <v>111</v>
      </c>
      <c r="B59" s="57">
        <f ca="1">SUMIF(logs!$M:$M,'p&amp;l'!$A59&amp;'p&amp;l'!B$34,logs!$W:$W)+AH59</f>
        <v>0</v>
      </c>
      <c r="C59" s="57">
        <f ca="1">SUMIF(logs!$M:$M,'p&amp;l'!$A59&amp;'p&amp;l'!C$34,logs!$W:$W)+AI59</f>
        <v>42000</v>
      </c>
      <c r="D59" s="57">
        <f ca="1">SUMIF(logs!$M:$M,'p&amp;l'!$A59&amp;'p&amp;l'!D$34,logs!$W:$W)+AJ59</f>
        <v>0</v>
      </c>
      <c r="E59" s="57">
        <f ca="1">SUMIF(logs!$M:$M,'p&amp;l'!$A59&amp;'p&amp;l'!E$34,logs!$W:$W)+AK59</f>
        <v>137956</v>
      </c>
      <c r="F59" s="57">
        <f ca="1">SUMIF(logs!$M:$M,'p&amp;l'!$A59&amp;'p&amp;l'!F$34,logs!$W:$W)+AL59</f>
        <v>0</v>
      </c>
      <c r="G59" s="57">
        <f ca="1">SUMIF(logs!$M:$M,'p&amp;l'!$A59&amp;'p&amp;l'!G$34,logs!$W:$W)+AM59</f>
        <v>0</v>
      </c>
      <c r="H59" s="57">
        <f ca="1">SUMIF(logs!$M:$M,'p&amp;l'!$A59&amp;'p&amp;l'!H$34,logs!$W:$W)+AN59</f>
        <v>0</v>
      </c>
      <c r="I59" s="57">
        <f ca="1">SUMIF(logs!$M:$M,'p&amp;l'!$A59&amp;'p&amp;l'!I$34,logs!$W:$W)+AO59</f>
        <v>0</v>
      </c>
      <c r="J59" s="57">
        <f ca="1">SUMIF(logs!$M:$M,'p&amp;l'!$A59&amp;'p&amp;l'!J$34,logs!$W:$W)+AP59</f>
        <v>0</v>
      </c>
      <c r="K59" s="57">
        <f ca="1">SUMIF(logs!$M:$M,'p&amp;l'!$A59&amp;'p&amp;l'!K$34,logs!$W:$W)+AQ59</f>
        <v>0</v>
      </c>
      <c r="L59" s="57">
        <f ca="1">SUMIF(logs!$M:$M,'p&amp;l'!$A59&amp;'p&amp;l'!L$34,logs!$W:$W)+AR59</f>
        <v>0</v>
      </c>
      <c r="M59" s="57">
        <f ca="1">SUMIF(logs!$M:$M,'p&amp;l'!$A59&amp;'p&amp;l'!M$34,logs!$W:$W)+AS59</f>
        <v>0</v>
      </c>
      <c r="N59" s="57">
        <f ca="1">SUMIF(logs!$M:$M,'p&amp;l'!$A59&amp;'p&amp;l'!N$34,logs!$W:$W)+AT59</f>
        <v>0</v>
      </c>
      <c r="O59" s="58">
        <f t="shared" ca="1" si="6"/>
        <v>179956</v>
      </c>
      <c r="Q59" s="44" t="s">
        <v>111</v>
      </c>
      <c r="R59" s="57">
        <f ca="1">B59-SUMIF(logs!$M:$M,'p&amp;l'!$Q59&amp;'p&amp;l'!R$34,logs!$X:$X)</f>
        <v>0</v>
      </c>
      <c r="S59" s="57">
        <f ca="1">C59-SUMIF(logs!$M:$M,'p&amp;l'!$Q59&amp;'p&amp;l'!S$34,logs!$X:$X)</f>
        <v>26500</v>
      </c>
      <c r="T59" s="57">
        <f ca="1">D59-SUMIF(logs!$M:$M,'p&amp;l'!$Q59&amp;'p&amp;l'!T$34,logs!$X:$X)</f>
        <v>0</v>
      </c>
      <c r="U59" s="57">
        <f ca="1">E59-SUMIF(logs!$M:$M,'p&amp;l'!$Q59&amp;'p&amp;l'!U$34,logs!$X:$X)</f>
        <v>151956</v>
      </c>
      <c r="V59" s="57">
        <f ca="1">F59-SUMIF(logs!$M:$M,'p&amp;l'!$Q59&amp;'p&amp;l'!V$34,logs!$X:$X)</f>
        <v>0</v>
      </c>
      <c r="W59" s="57">
        <f ca="1">G59-SUMIF(logs!$M:$M,'p&amp;l'!$Q59&amp;'p&amp;l'!W$34,logs!$X:$X)</f>
        <v>0</v>
      </c>
      <c r="X59" s="57">
        <f ca="1">H59-SUMIF(logs!$M:$M,'p&amp;l'!$Q59&amp;'p&amp;l'!X$34,logs!$X:$X)</f>
        <v>0</v>
      </c>
      <c r="Y59" s="57">
        <f ca="1">I59-SUMIF(logs!$M:$M,'p&amp;l'!$Q59&amp;'p&amp;l'!Y$34,logs!$X:$X)</f>
        <v>0</v>
      </c>
      <c r="Z59" s="57">
        <f ca="1">J59-SUMIF(logs!$M:$M,'p&amp;l'!$Q59&amp;'p&amp;l'!Z$34,logs!$X:$X)</f>
        <v>0</v>
      </c>
      <c r="AA59" s="57">
        <f ca="1">K59-SUMIF(logs!$M:$M,'p&amp;l'!$Q59&amp;'p&amp;l'!AA$34,logs!$X:$X)</f>
        <v>0</v>
      </c>
      <c r="AB59" s="57">
        <f ca="1">L59-SUMIF(logs!$M:$M,'p&amp;l'!$Q59&amp;'p&amp;l'!AB$34,logs!$X:$X)</f>
        <v>0</v>
      </c>
      <c r="AC59" s="57">
        <f ca="1">M59-SUMIF(logs!$M:$M,'p&amp;l'!$Q59&amp;'p&amp;l'!AC$34,logs!$X:$X)</f>
        <v>0</v>
      </c>
      <c r="AD59" s="57">
        <f ca="1">N59-SUMIF(logs!$M:$M,'p&amp;l'!$Q59&amp;'p&amp;l'!AD$34,logs!$X:$X)</f>
        <v>0</v>
      </c>
      <c r="AE59" s="58">
        <f t="shared" ca="1" si="7"/>
        <v>178456</v>
      </c>
      <c r="AG59" s="44" t="s">
        <v>111</v>
      </c>
      <c r="AH59" s="57">
        <f ca="1">-SUMIFS(logs!$R:$R,logs!$M:$M,'p&amp;l'!$AG59&amp;'p&amp;l'!AH$34,logs!$A:$A,"&lt;="&amp;assumptions!$C$2)</f>
        <v>0</v>
      </c>
      <c r="AI59" s="57">
        <f ca="1">-SUMIFS(logs!$R:$R,logs!$M:$M,'p&amp;l'!$AG59&amp;'p&amp;l'!AI$34,logs!$A:$A,"&lt;="&amp;assumptions!$C$2)</f>
        <v>0</v>
      </c>
      <c r="AJ59" s="57">
        <f ca="1">-SUMIFS(logs!$R:$R,logs!$M:$M,'p&amp;l'!$AG59&amp;'p&amp;l'!AJ$34,logs!$A:$A,"&lt;="&amp;assumptions!$C$2)</f>
        <v>0</v>
      </c>
      <c r="AK59" s="57">
        <f ca="1">-SUMIFS(logs!$R:$R,logs!$M:$M,'p&amp;l'!$AG59&amp;'p&amp;l'!AK$34,logs!$A:$A,"&lt;="&amp;assumptions!$C$2)</f>
        <v>-44</v>
      </c>
      <c r="AL59" s="57">
        <f ca="1">-SUMIFS(logs!$R:$R,logs!$M:$M,'p&amp;l'!$AG59&amp;'p&amp;l'!AL$34,logs!$A:$A,"&lt;="&amp;assumptions!$C$2)</f>
        <v>0</v>
      </c>
      <c r="AM59" s="57">
        <f ca="1">-SUMIFS(logs!$R:$R,logs!$M:$M,'p&amp;l'!$AG59&amp;'p&amp;l'!AM$34,logs!$A:$A,"&lt;="&amp;assumptions!$C$2)</f>
        <v>0</v>
      </c>
      <c r="AN59" s="57">
        <f ca="1">-SUMIFS(logs!$R:$R,logs!$M:$M,'p&amp;l'!$AG59&amp;'p&amp;l'!AN$34,logs!$A:$A,"&lt;="&amp;assumptions!$C$2)</f>
        <v>0</v>
      </c>
      <c r="AO59" s="57">
        <f ca="1">-SUMIFS(logs!$R:$R,logs!$M:$M,'p&amp;l'!$AG59&amp;'p&amp;l'!AO$34,logs!$A:$A,"&lt;="&amp;assumptions!$C$2)</f>
        <v>0</v>
      </c>
      <c r="AP59" s="57">
        <f ca="1">-SUMIFS(logs!$R:$R,logs!$M:$M,'p&amp;l'!$AG59&amp;'p&amp;l'!AP$34,logs!$A:$A,"&lt;="&amp;assumptions!$C$2)</f>
        <v>0</v>
      </c>
      <c r="AQ59" s="57">
        <f ca="1">-SUMIFS(logs!$R:$R,logs!$M:$M,'p&amp;l'!$AG59&amp;'p&amp;l'!AQ$34,logs!$A:$A,"&lt;="&amp;assumptions!$C$2)</f>
        <v>0</v>
      </c>
      <c r="AR59" s="57">
        <f ca="1">-SUMIFS(logs!$R:$R,logs!$M:$M,'p&amp;l'!$AG59&amp;'p&amp;l'!AR$34,logs!$A:$A,"&lt;="&amp;assumptions!$C$2)</f>
        <v>0</v>
      </c>
      <c r="AS59" s="57">
        <f ca="1">-SUMIFS(logs!$R:$R,logs!$M:$M,'p&amp;l'!$AG59&amp;'p&amp;l'!AS$34,logs!$A:$A,"&lt;="&amp;assumptions!$C$2)</f>
        <v>0</v>
      </c>
      <c r="AT59" s="57">
        <f ca="1">-SUMIFS(logs!$R:$R,logs!$M:$M,'p&amp;l'!$AG59&amp;'p&amp;l'!AT$34,logs!$A:$A,"&lt;="&amp;assumptions!$C$2)</f>
        <v>0</v>
      </c>
      <c r="AU59" s="58">
        <f t="shared" ca="1" si="8"/>
        <v>-44</v>
      </c>
    </row>
    <row r="60" spans="1:47" x14ac:dyDescent="0.35">
      <c r="A60" s="44" t="s">
        <v>114</v>
      </c>
      <c r="B60" s="57">
        <f ca="1">SUMIF(logs!$M:$M,'p&amp;l'!$A60&amp;'p&amp;l'!B$34,logs!$W:$W)+AH60</f>
        <v>0</v>
      </c>
      <c r="C60" s="57">
        <f ca="1">SUMIF(logs!$M:$M,'p&amp;l'!$A60&amp;'p&amp;l'!C$34,logs!$W:$W)+AI60</f>
        <v>0</v>
      </c>
      <c r="D60" s="57">
        <f ca="1">SUMIF(logs!$M:$M,'p&amp;l'!$A60&amp;'p&amp;l'!D$34,logs!$W:$W)+AJ60</f>
        <v>0</v>
      </c>
      <c r="E60" s="57">
        <f ca="1">SUMIF(logs!$M:$M,'p&amp;l'!$A60&amp;'p&amp;l'!E$34,logs!$W:$W)+AK60</f>
        <v>0</v>
      </c>
      <c r="F60" s="57">
        <f ca="1">SUMIF(logs!$M:$M,'p&amp;l'!$A60&amp;'p&amp;l'!F$34,logs!$W:$W)+AL60</f>
        <v>0</v>
      </c>
      <c r="G60" s="57">
        <f ca="1">SUMIF(logs!$M:$M,'p&amp;l'!$A60&amp;'p&amp;l'!G$34,logs!$W:$W)+AM60</f>
        <v>0</v>
      </c>
      <c r="H60" s="57">
        <f ca="1">SUMIF(logs!$M:$M,'p&amp;l'!$A60&amp;'p&amp;l'!H$34,logs!$W:$W)+AN60</f>
        <v>0</v>
      </c>
      <c r="I60" s="57">
        <f ca="1">SUMIF(logs!$M:$M,'p&amp;l'!$A60&amp;'p&amp;l'!I$34,logs!$W:$W)+AO60</f>
        <v>0</v>
      </c>
      <c r="J60" s="57">
        <f ca="1">SUMIF(logs!$M:$M,'p&amp;l'!$A60&amp;'p&amp;l'!J$34,logs!$W:$W)+AP60</f>
        <v>0</v>
      </c>
      <c r="K60" s="57">
        <f ca="1">SUMIF(logs!$M:$M,'p&amp;l'!$A60&amp;'p&amp;l'!K$34,logs!$W:$W)+AQ60</f>
        <v>0</v>
      </c>
      <c r="L60" s="57">
        <f ca="1">SUMIF(logs!$M:$M,'p&amp;l'!$A60&amp;'p&amp;l'!L$34,logs!$W:$W)+AR60</f>
        <v>0</v>
      </c>
      <c r="M60" s="57">
        <f ca="1">SUMIF(logs!$M:$M,'p&amp;l'!$A60&amp;'p&amp;l'!M$34,logs!$W:$W)+AS60</f>
        <v>0</v>
      </c>
      <c r="N60" s="57">
        <f ca="1">SUMIF(logs!$M:$M,'p&amp;l'!$A60&amp;'p&amp;l'!N$34,logs!$W:$W)+AT60</f>
        <v>0</v>
      </c>
      <c r="O60" s="58">
        <f t="shared" ca="1" si="6"/>
        <v>0</v>
      </c>
      <c r="Q60" s="44" t="s">
        <v>114</v>
      </c>
      <c r="R60" s="57">
        <f ca="1">B60-SUMIF(logs!$M:$M,'p&amp;l'!$Q60&amp;'p&amp;l'!R$34,logs!$X:$X)</f>
        <v>0</v>
      </c>
      <c r="S60" s="57">
        <f ca="1">C60-SUMIF(logs!$M:$M,'p&amp;l'!$Q60&amp;'p&amp;l'!S$34,logs!$X:$X)</f>
        <v>0</v>
      </c>
      <c r="T60" s="57">
        <f ca="1">D60-SUMIF(logs!$M:$M,'p&amp;l'!$Q60&amp;'p&amp;l'!T$34,logs!$X:$X)</f>
        <v>0</v>
      </c>
      <c r="U60" s="57">
        <f ca="1">E60-SUMIF(logs!$M:$M,'p&amp;l'!$Q60&amp;'p&amp;l'!U$34,logs!$X:$X)</f>
        <v>0</v>
      </c>
      <c r="V60" s="57">
        <f ca="1">F60-SUMIF(logs!$M:$M,'p&amp;l'!$Q60&amp;'p&amp;l'!V$34,logs!$X:$X)</f>
        <v>0</v>
      </c>
      <c r="W60" s="57">
        <f ca="1">G60-SUMIF(logs!$M:$M,'p&amp;l'!$Q60&amp;'p&amp;l'!W$34,logs!$X:$X)</f>
        <v>0</v>
      </c>
      <c r="X60" s="57">
        <f ca="1">H60-SUMIF(logs!$M:$M,'p&amp;l'!$Q60&amp;'p&amp;l'!X$34,logs!$X:$X)</f>
        <v>0</v>
      </c>
      <c r="Y60" s="57">
        <f ca="1">I60-SUMIF(logs!$M:$M,'p&amp;l'!$Q60&amp;'p&amp;l'!Y$34,logs!$X:$X)</f>
        <v>0</v>
      </c>
      <c r="Z60" s="57">
        <f ca="1">J60-SUMIF(logs!$M:$M,'p&amp;l'!$Q60&amp;'p&amp;l'!Z$34,logs!$X:$X)</f>
        <v>0</v>
      </c>
      <c r="AA60" s="57">
        <f ca="1">K60-SUMIF(logs!$M:$M,'p&amp;l'!$Q60&amp;'p&amp;l'!AA$34,logs!$X:$X)</f>
        <v>0</v>
      </c>
      <c r="AB60" s="57">
        <f ca="1">L60-SUMIF(logs!$M:$M,'p&amp;l'!$Q60&amp;'p&amp;l'!AB$34,logs!$X:$X)</f>
        <v>0</v>
      </c>
      <c r="AC60" s="57">
        <f ca="1">M60-SUMIF(logs!$M:$M,'p&amp;l'!$Q60&amp;'p&amp;l'!AC$34,logs!$X:$X)</f>
        <v>0</v>
      </c>
      <c r="AD60" s="57">
        <f ca="1">N60-SUMIF(logs!$M:$M,'p&amp;l'!$Q60&amp;'p&amp;l'!AD$34,logs!$X:$X)</f>
        <v>0</v>
      </c>
      <c r="AE60" s="58">
        <f t="shared" ca="1" si="7"/>
        <v>0</v>
      </c>
      <c r="AG60" s="44" t="s">
        <v>114</v>
      </c>
      <c r="AH60" s="57">
        <f ca="1">-SUMIFS(logs!$R:$R,logs!$M:$M,'p&amp;l'!$AG60&amp;'p&amp;l'!AH$34,logs!$A:$A,"&lt;="&amp;assumptions!$C$2)</f>
        <v>0</v>
      </c>
      <c r="AI60" s="57">
        <f ca="1">-SUMIFS(logs!$R:$R,logs!$M:$M,'p&amp;l'!$AG60&amp;'p&amp;l'!AI$34,logs!$A:$A,"&lt;="&amp;assumptions!$C$2)</f>
        <v>0</v>
      </c>
      <c r="AJ60" s="57">
        <f ca="1">-SUMIFS(logs!$R:$R,logs!$M:$M,'p&amp;l'!$AG60&amp;'p&amp;l'!AJ$34,logs!$A:$A,"&lt;="&amp;assumptions!$C$2)</f>
        <v>0</v>
      </c>
      <c r="AK60" s="57">
        <f ca="1">-SUMIFS(logs!$R:$R,logs!$M:$M,'p&amp;l'!$AG60&amp;'p&amp;l'!AK$34,logs!$A:$A,"&lt;="&amp;assumptions!$C$2)</f>
        <v>0</v>
      </c>
      <c r="AL60" s="57">
        <f ca="1">-SUMIFS(logs!$R:$R,logs!$M:$M,'p&amp;l'!$AG60&amp;'p&amp;l'!AL$34,logs!$A:$A,"&lt;="&amp;assumptions!$C$2)</f>
        <v>0</v>
      </c>
      <c r="AM60" s="57">
        <f ca="1">-SUMIFS(logs!$R:$R,logs!$M:$M,'p&amp;l'!$AG60&amp;'p&amp;l'!AM$34,logs!$A:$A,"&lt;="&amp;assumptions!$C$2)</f>
        <v>0</v>
      </c>
      <c r="AN60" s="57">
        <f ca="1">-SUMIFS(logs!$R:$R,logs!$M:$M,'p&amp;l'!$AG60&amp;'p&amp;l'!AN$34,logs!$A:$A,"&lt;="&amp;assumptions!$C$2)</f>
        <v>0</v>
      </c>
      <c r="AO60" s="57">
        <f ca="1">-SUMIFS(logs!$R:$R,logs!$M:$M,'p&amp;l'!$AG60&amp;'p&amp;l'!AO$34,logs!$A:$A,"&lt;="&amp;assumptions!$C$2)</f>
        <v>0</v>
      </c>
      <c r="AP60" s="57">
        <f ca="1">-SUMIFS(logs!$R:$R,logs!$M:$M,'p&amp;l'!$AG60&amp;'p&amp;l'!AP$34,logs!$A:$A,"&lt;="&amp;assumptions!$C$2)</f>
        <v>0</v>
      </c>
      <c r="AQ60" s="57">
        <f ca="1">-SUMIFS(logs!$R:$R,logs!$M:$M,'p&amp;l'!$AG60&amp;'p&amp;l'!AQ$34,logs!$A:$A,"&lt;="&amp;assumptions!$C$2)</f>
        <v>0</v>
      </c>
      <c r="AR60" s="57">
        <f ca="1">-SUMIFS(logs!$R:$R,logs!$M:$M,'p&amp;l'!$AG60&amp;'p&amp;l'!AR$34,logs!$A:$A,"&lt;="&amp;assumptions!$C$2)</f>
        <v>0</v>
      </c>
      <c r="AS60" s="57">
        <f ca="1">-SUMIFS(logs!$R:$R,logs!$M:$M,'p&amp;l'!$AG60&amp;'p&amp;l'!AS$34,logs!$A:$A,"&lt;="&amp;assumptions!$C$2)</f>
        <v>0</v>
      </c>
      <c r="AT60" s="57">
        <f ca="1">-SUMIFS(logs!$R:$R,logs!$M:$M,'p&amp;l'!$AG60&amp;'p&amp;l'!AT$34,logs!$A:$A,"&lt;="&amp;assumptions!$C$2)</f>
        <v>0</v>
      </c>
      <c r="AU60" s="58">
        <f t="shared" ca="1" si="8"/>
        <v>0</v>
      </c>
    </row>
    <row r="61" spans="1:47" x14ac:dyDescent="0.35">
      <c r="A61" s="45" t="s">
        <v>118</v>
      </c>
      <c r="B61" s="59">
        <f ca="1">SUMIF(logs!$M:$M,'p&amp;l'!$A61&amp;'p&amp;l'!B$34,logs!$W:$W)+AH61</f>
        <v>0</v>
      </c>
      <c r="C61" s="59">
        <f ca="1">SUMIF(logs!$M:$M,'p&amp;l'!$A61&amp;'p&amp;l'!C$34,logs!$W:$W)+AI61</f>
        <v>0</v>
      </c>
      <c r="D61" s="59">
        <f ca="1">SUMIF(logs!$M:$M,'p&amp;l'!$A61&amp;'p&amp;l'!D$34,logs!$W:$W)+AJ61</f>
        <v>0</v>
      </c>
      <c r="E61" s="59">
        <f ca="1">SUMIF(logs!$M:$M,'p&amp;l'!$A61&amp;'p&amp;l'!E$34,logs!$W:$W)+AK61</f>
        <v>0</v>
      </c>
      <c r="F61" s="59">
        <f ca="1">SUMIF(logs!$M:$M,'p&amp;l'!$A61&amp;'p&amp;l'!F$34,logs!$W:$W)+AL61</f>
        <v>0</v>
      </c>
      <c r="G61" s="59">
        <f ca="1">SUMIF(logs!$M:$M,'p&amp;l'!$A61&amp;'p&amp;l'!G$34,logs!$W:$W)+AM61</f>
        <v>0</v>
      </c>
      <c r="H61" s="59">
        <f ca="1">SUMIF(logs!$M:$M,'p&amp;l'!$A61&amp;'p&amp;l'!H$34,logs!$W:$W)+AN61</f>
        <v>0</v>
      </c>
      <c r="I61" s="59">
        <f ca="1">SUMIF(logs!$M:$M,'p&amp;l'!$A61&amp;'p&amp;l'!I$34,logs!$W:$W)+AO61</f>
        <v>0</v>
      </c>
      <c r="J61" s="59">
        <f ca="1">SUMIF(logs!$M:$M,'p&amp;l'!$A61&amp;'p&amp;l'!J$34,logs!$W:$W)+AP61</f>
        <v>0</v>
      </c>
      <c r="K61" s="59">
        <f ca="1">SUMIF(logs!$M:$M,'p&amp;l'!$A61&amp;'p&amp;l'!K$34,logs!$W:$W)+AQ61</f>
        <v>0</v>
      </c>
      <c r="L61" s="59">
        <f ca="1">SUMIF(logs!$M:$M,'p&amp;l'!$A61&amp;'p&amp;l'!L$34,logs!$W:$W)+AR61</f>
        <v>0</v>
      </c>
      <c r="M61" s="59">
        <f ca="1">SUMIF(logs!$M:$M,'p&amp;l'!$A61&amp;'p&amp;l'!M$34,logs!$W:$W)+AS61</f>
        <v>0</v>
      </c>
      <c r="N61" s="59">
        <f ca="1">SUMIF(logs!$M:$M,'p&amp;l'!$A61&amp;'p&amp;l'!N$34,logs!$W:$W)+AT61</f>
        <v>0</v>
      </c>
      <c r="O61" s="60">
        <f t="shared" ca="1" si="6"/>
        <v>0</v>
      </c>
      <c r="Q61" s="45" t="s">
        <v>118</v>
      </c>
      <c r="R61" s="59">
        <f ca="1">B61-SUMIF(logs!$M:$M,'p&amp;l'!$Q61&amp;'p&amp;l'!R$34,logs!$X:$X)</f>
        <v>0</v>
      </c>
      <c r="S61" s="59">
        <f ca="1">C61-SUMIF(logs!$M:$M,'p&amp;l'!$Q61&amp;'p&amp;l'!S$34,logs!$X:$X)</f>
        <v>0</v>
      </c>
      <c r="T61" s="59">
        <f ca="1">D61-SUMIF(logs!$M:$M,'p&amp;l'!$Q61&amp;'p&amp;l'!T$34,logs!$X:$X)</f>
        <v>0</v>
      </c>
      <c r="U61" s="59">
        <f ca="1">E61-SUMIF(logs!$M:$M,'p&amp;l'!$Q61&amp;'p&amp;l'!U$34,logs!$X:$X)</f>
        <v>0</v>
      </c>
      <c r="V61" s="59">
        <f ca="1">F61-SUMIF(logs!$M:$M,'p&amp;l'!$Q61&amp;'p&amp;l'!V$34,logs!$X:$X)</f>
        <v>0</v>
      </c>
      <c r="W61" s="59">
        <f ca="1">G61-SUMIF(logs!$M:$M,'p&amp;l'!$Q61&amp;'p&amp;l'!W$34,logs!$X:$X)</f>
        <v>0</v>
      </c>
      <c r="X61" s="59">
        <f ca="1">H61-SUMIF(logs!$M:$M,'p&amp;l'!$Q61&amp;'p&amp;l'!X$34,logs!$X:$X)</f>
        <v>0</v>
      </c>
      <c r="Y61" s="59">
        <f ca="1">I61-SUMIF(logs!$M:$M,'p&amp;l'!$Q61&amp;'p&amp;l'!Y$34,logs!$X:$X)</f>
        <v>0</v>
      </c>
      <c r="Z61" s="59">
        <f ca="1">J61-SUMIF(logs!$M:$M,'p&amp;l'!$Q61&amp;'p&amp;l'!Z$34,logs!$X:$X)</f>
        <v>0</v>
      </c>
      <c r="AA61" s="59">
        <f ca="1">K61-SUMIF(logs!$M:$M,'p&amp;l'!$Q61&amp;'p&amp;l'!AA$34,logs!$X:$X)</f>
        <v>0</v>
      </c>
      <c r="AB61" s="59">
        <f ca="1">L61-SUMIF(logs!$M:$M,'p&amp;l'!$Q61&amp;'p&amp;l'!AB$34,logs!$X:$X)</f>
        <v>0</v>
      </c>
      <c r="AC61" s="59">
        <f ca="1">M61-SUMIF(logs!$M:$M,'p&amp;l'!$Q61&amp;'p&amp;l'!AC$34,logs!$X:$X)</f>
        <v>0</v>
      </c>
      <c r="AD61" s="59">
        <f ca="1">N61-SUMIF(logs!$M:$M,'p&amp;l'!$Q61&amp;'p&amp;l'!AD$34,logs!$X:$X)</f>
        <v>0</v>
      </c>
      <c r="AE61" s="60">
        <f t="shared" ca="1" si="7"/>
        <v>0</v>
      </c>
      <c r="AG61" s="45" t="s">
        <v>118</v>
      </c>
      <c r="AH61" s="59">
        <f ca="1">-SUMIFS(logs!$R:$R,logs!$M:$M,'p&amp;l'!$AG61&amp;'p&amp;l'!AH$34,logs!$A:$A,"&lt;="&amp;assumptions!$C$2)</f>
        <v>0</v>
      </c>
      <c r="AI61" s="59">
        <f ca="1">-SUMIFS(logs!$R:$R,logs!$M:$M,'p&amp;l'!$AG61&amp;'p&amp;l'!AI$34,logs!$A:$A,"&lt;="&amp;assumptions!$C$2)</f>
        <v>0</v>
      </c>
      <c r="AJ61" s="59">
        <f ca="1">-SUMIFS(logs!$R:$R,logs!$M:$M,'p&amp;l'!$AG61&amp;'p&amp;l'!AJ$34,logs!$A:$A,"&lt;="&amp;assumptions!$C$2)</f>
        <v>0</v>
      </c>
      <c r="AK61" s="59">
        <f ca="1">-SUMIFS(logs!$R:$R,logs!$M:$M,'p&amp;l'!$AG61&amp;'p&amp;l'!AK$34,logs!$A:$A,"&lt;="&amp;assumptions!$C$2)</f>
        <v>0</v>
      </c>
      <c r="AL61" s="59">
        <f ca="1">-SUMIFS(logs!$R:$R,logs!$M:$M,'p&amp;l'!$AG61&amp;'p&amp;l'!AL$34,logs!$A:$A,"&lt;="&amp;assumptions!$C$2)</f>
        <v>0</v>
      </c>
      <c r="AM61" s="59">
        <f ca="1">-SUMIFS(logs!$R:$R,logs!$M:$M,'p&amp;l'!$AG61&amp;'p&amp;l'!AM$34,logs!$A:$A,"&lt;="&amp;assumptions!$C$2)</f>
        <v>0</v>
      </c>
      <c r="AN61" s="59">
        <f ca="1">-SUMIFS(logs!$R:$R,logs!$M:$M,'p&amp;l'!$AG61&amp;'p&amp;l'!AN$34,logs!$A:$A,"&lt;="&amp;assumptions!$C$2)</f>
        <v>0</v>
      </c>
      <c r="AO61" s="59">
        <f ca="1">-SUMIFS(logs!$R:$R,logs!$M:$M,'p&amp;l'!$AG61&amp;'p&amp;l'!AO$34,logs!$A:$A,"&lt;="&amp;assumptions!$C$2)</f>
        <v>0</v>
      </c>
      <c r="AP61" s="59">
        <f ca="1">-SUMIFS(logs!$R:$R,logs!$M:$M,'p&amp;l'!$AG61&amp;'p&amp;l'!AP$34,logs!$A:$A,"&lt;="&amp;assumptions!$C$2)</f>
        <v>0</v>
      </c>
      <c r="AQ61" s="59">
        <f ca="1">-SUMIFS(logs!$R:$R,logs!$M:$M,'p&amp;l'!$AG61&amp;'p&amp;l'!AQ$34,logs!$A:$A,"&lt;="&amp;assumptions!$C$2)</f>
        <v>0</v>
      </c>
      <c r="AR61" s="59">
        <f ca="1">-SUMIFS(logs!$R:$R,logs!$M:$M,'p&amp;l'!$AG61&amp;'p&amp;l'!AR$34,logs!$A:$A,"&lt;="&amp;assumptions!$C$2)</f>
        <v>0</v>
      </c>
      <c r="AS61" s="59">
        <f ca="1">-SUMIFS(logs!$R:$R,logs!$M:$M,'p&amp;l'!$AG61&amp;'p&amp;l'!AS$34,logs!$A:$A,"&lt;="&amp;assumptions!$C$2)</f>
        <v>0</v>
      </c>
      <c r="AT61" s="59">
        <f ca="1">-SUMIFS(logs!$R:$R,logs!$M:$M,'p&amp;l'!$AG61&amp;'p&amp;l'!AT$34,logs!$A:$A,"&lt;="&amp;assumptions!$C$2)</f>
        <v>0</v>
      </c>
      <c r="AU61" s="60">
        <f t="shared" ca="1" si="8"/>
        <v>0</v>
      </c>
    </row>
    <row r="62" spans="1:47" x14ac:dyDescent="0.35">
      <c r="A62" s="47" t="s">
        <v>204</v>
      </c>
      <c r="B62" s="63">
        <f ca="1">SUM(B35:B61)</f>
        <v>38976.599999999904</v>
      </c>
      <c r="C62" s="63">
        <f t="shared" ref="C62:O62" ca="1" si="9">SUM(C35:C61)</f>
        <v>-117000</v>
      </c>
      <c r="D62" s="63">
        <f t="shared" ca="1" si="9"/>
        <v>-405460.64775041718</v>
      </c>
      <c r="E62" s="63">
        <f t="shared" ca="1" si="9"/>
        <v>514817.60000000009</v>
      </c>
      <c r="F62" s="63">
        <f t="shared" ca="1" si="9"/>
        <v>297839.89679583831</v>
      </c>
      <c r="G62" s="63">
        <f t="shared" ca="1" si="9"/>
        <v>0</v>
      </c>
      <c r="H62" s="63">
        <f t="shared" ca="1" si="9"/>
        <v>-122502.58827734306</v>
      </c>
      <c r="I62" s="63">
        <f t="shared" ca="1" si="9"/>
        <v>79391.500000000116</v>
      </c>
      <c r="J62" s="63">
        <f t="shared" ca="1" si="9"/>
        <v>-9794.4600000000501</v>
      </c>
      <c r="K62" s="63">
        <f t="shared" ca="1" si="9"/>
        <v>214554.74000000011</v>
      </c>
      <c r="L62" s="63">
        <f t="shared" ca="1" si="9"/>
        <v>40346.280000000042</v>
      </c>
      <c r="M62" s="63">
        <f t="shared" ca="1" si="9"/>
        <v>0</v>
      </c>
      <c r="N62" s="63">
        <f t="shared" ca="1" si="9"/>
        <v>0</v>
      </c>
      <c r="O62" s="64">
        <f t="shared" ca="1" si="9"/>
        <v>531168.9207680783</v>
      </c>
      <c r="Q62" s="47" t="s">
        <v>204</v>
      </c>
      <c r="R62" s="63">
        <f ca="1">SUM(R35:R61)</f>
        <v>-60023.400000000111</v>
      </c>
      <c r="S62" s="63">
        <f t="shared" ref="S62:AE62" ca="1" si="10">SUM(S35:S61)</f>
        <v>-40500</v>
      </c>
      <c r="T62" s="63">
        <f t="shared" ca="1" si="10"/>
        <v>211761.78727678888</v>
      </c>
      <c r="U62" s="63">
        <f t="shared" ca="1" si="10"/>
        <v>506817.59999999992</v>
      </c>
      <c r="V62" s="63">
        <f t="shared" ca="1" si="10"/>
        <v>231469.77728399873</v>
      </c>
      <c r="W62" s="63">
        <f t="shared" ca="1" si="10"/>
        <v>0</v>
      </c>
      <c r="X62" s="63">
        <f t="shared" ca="1" si="10"/>
        <v>-114382.94000432671</v>
      </c>
      <c r="Y62" s="63">
        <f t="shared" ca="1" si="10"/>
        <v>50865.099999999977</v>
      </c>
      <c r="Z62" s="63">
        <f t="shared" ca="1" si="10"/>
        <v>-17044.460000000028</v>
      </c>
      <c r="AA62" s="63">
        <f t="shared" ca="1" si="10"/>
        <v>228176.73999999979</v>
      </c>
      <c r="AB62" s="63">
        <f t="shared" ca="1" si="10"/>
        <v>25694.280000000195</v>
      </c>
      <c r="AC62" s="63">
        <f t="shared" ca="1" si="10"/>
        <v>0</v>
      </c>
      <c r="AD62" s="63">
        <f t="shared" ca="1" si="10"/>
        <v>0</v>
      </c>
      <c r="AE62" s="64">
        <f t="shared" ca="1" si="10"/>
        <v>1022834.4845564608</v>
      </c>
      <c r="AG62" s="47" t="s">
        <v>204</v>
      </c>
      <c r="AH62" s="63">
        <f ca="1">SUM(AH35:AH61)</f>
        <v>-23.400000000000002</v>
      </c>
      <c r="AI62" s="63">
        <f t="shared" ref="AI62:AU62" ca="1" si="11">SUM(AI35:AI61)</f>
        <v>0</v>
      </c>
      <c r="AJ62" s="63">
        <f t="shared" ca="1" si="11"/>
        <v>-90.271116867940236</v>
      </c>
      <c r="AK62" s="63">
        <f t="shared" ca="1" si="11"/>
        <v>-182.39999999999998</v>
      </c>
      <c r="AL62" s="63">
        <f t="shared" ca="1" si="11"/>
        <v>-178.9699324160062</v>
      </c>
      <c r="AM62" s="63">
        <f t="shared" ca="1" si="11"/>
        <v>0</v>
      </c>
      <c r="AN62" s="63">
        <f t="shared" ca="1" si="11"/>
        <v>-45.999747724859311</v>
      </c>
      <c r="AO62" s="63">
        <f t="shared" ca="1" si="11"/>
        <v>-16.5</v>
      </c>
      <c r="AP62" s="63">
        <f t="shared" ca="1" si="11"/>
        <v>-44.46</v>
      </c>
      <c r="AQ62" s="63">
        <f t="shared" ca="1" si="11"/>
        <v>-307.26</v>
      </c>
      <c r="AR62" s="63">
        <f t="shared" ca="1" si="11"/>
        <v>-57.72</v>
      </c>
      <c r="AS62" s="63">
        <f t="shared" ca="1" si="11"/>
        <v>0</v>
      </c>
      <c r="AT62" s="63">
        <f t="shared" ca="1" si="11"/>
        <v>0</v>
      </c>
      <c r="AU62" s="64">
        <f t="shared" ca="1" si="11"/>
        <v>-946.98079700880567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C2AB-CE79-754A-80E2-FCA46F3C4C8F}">
  <sheetPr>
    <tabColor rgb="FF00B0F0"/>
  </sheetPr>
  <dimension ref="A1:P59"/>
  <sheetViews>
    <sheetView showGridLines="0" zoomScale="60" zoomScaleNormal="60" workbookViewId="0">
      <selection activeCell="J22" sqref="J22"/>
    </sheetView>
  </sheetViews>
  <sheetFormatPr defaultColWidth="10.83203125" defaultRowHeight="15.5" x14ac:dyDescent="0.35"/>
  <cols>
    <col min="1" max="1" width="20.33203125" style="68" bestFit="1" customWidth="1"/>
    <col min="2" max="2" width="12.58203125" style="68" customWidth="1"/>
    <col min="3" max="8" width="10.83203125" style="68"/>
    <col min="9" max="9" width="7.5" style="68" customWidth="1"/>
    <col min="10" max="10" width="18.4140625" style="68" customWidth="1"/>
    <col min="11" max="13" width="13.33203125" style="68" customWidth="1"/>
    <col min="14" max="14" width="11.4140625" style="68" customWidth="1"/>
    <col min="15" max="16384" width="10.83203125" style="68"/>
  </cols>
  <sheetData>
    <row r="1" spans="1:16" ht="19.5" x14ac:dyDescent="0.45">
      <c r="A1" s="42" t="s">
        <v>251</v>
      </c>
      <c r="J1" s="42" t="s">
        <v>272</v>
      </c>
    </row>
    <row r="2" spans="1:16" x14ac:dyDescent="0.35">
      <c r="A2" s="66" t="s">
        <v>212</v>
      </c>
      <c r="B2" s="67" t="s">
        <v>14</v>
      </c>
      <c r="C2" s="67" t="s">
        <v>31</v>
      </c>
      <c r="D2" s="67" t="s">
        <v>64</v>
      </c>
      <c r="E2" s="67" t="s">
        <v>94</v>
      </c>
      <c r="F2" s="67" t="s">
        <v>108</v>
      </c>
      <c r="G2" s="67" t="s">
        <v>115</v>
      </c>
      <c r="H2" s="66" t="s">
        <v>204</v>
      </c>
      <c r="J2" s="66"/>
      <c r="K2" s="67" t="s">
        <v>275</v>
      </c>
      <c r="L2" s="67" t="s">
        <v>276</v>
      </c>
      <c r="M2" s="87" t="s">
        <v>277</v>
      </c>
      <c r="N2" s="121" t="s">
        <v>303</v>
      </c>
      <c r="O2" s="67" t="s">
        <v>305</v>
      </c>
      <c r="P2" s="87" t="s">
        <v>304</v>
      </c>
    </row>
    <row r="3" spans="1:16" x14ac:dyDescent="0.35">
      <c r="A3" s="65" t="s">
        <v>207</v>
      </c>
      <c r="B3" s="69">
        <f>SUMIFS(logs!$Q:$Q,logs!$I:$I,VLOOKUP($A3,factor,2,0),logs!$H:$H,risk!B$2,logs!$G:$G,"HV")</f>
        <v>1297900</v>
      </c>
      <c r="C3" s="69">
        <f>SUMIFS(logs!$Q:$Q,logs!$I:$I,VLOOKUP($A3,factor,2,0),logs!$H:$H,risk!C$2,logs!$G:$G,"HV")</f>
        <v>0</v>
      </c>
      <c r="D3" s="69">
        <f>SUMIFS(logs!$Q:$Q,logs!$I:$I,VLOOKUP($A3,factor,2,0),logs!$H:$H,risk!D$2,logs!$G:$G,"HV")</f>
        <v>0</v>
      </c>
      <c r="E3" s="69">
        <f>SUMIFS(logs!$Q:$Q,logs!$I:$I,VLOOKUP($A3,factor,2,0),logs!$H:$H,risk!E$2,logs!$G:$G,"HV")</f>
        <v>240240</v>
      </c>
      <c r="F3" s="69">
        <f>SUMIFS(logs!$Q:$Q,logs!$I:$I,VLOOKUP($A3,factor,2,0),logs!$H:$H,risk!F$2,logs!$G:$G,"HV")</f>
        <v>0</v>
      </c>
      <c r="G3" s="69">
        <f>SUMIFS(logs!$Q:$Q,logs!$I:$I,VLOOKUP($A3,factor,2,0),logs!$H:$H,risk!G$2,logs!$G:$G,"HV")</f>
        <v>0</v>
      </c>
      <c r="H3" s="70">
        <f>SUM(B3:G3)</f>
        <v>1538140</v>
      </c>
      <c r="J3" s="66" t="s">
        <v>274</v>
      </c>
      <c r="K3" s="92">
        <f>SUM(K4:K26)</f>
        <v>63269051.938837983</v>
      </c>
      <c r="L3" s="92">
        <f t="shared" ref="L3:M3" si="0">SUM(L4:L26)</f>
        <v>4531010.3404518701</v>
      </c>
      <c r="M3" s="93">
        <f t="shared" si="0"/>
        <v>186627.18980846507</v>
      </c>
      <c r="N3" s="127">
        <f>AVERAGE(N4:N21)</f>
        <v>4.4000000000000011E-3</v>
      </c>
      <c r="O3" s="128">
        <f t="shared" ref="O3:P3" si="1">AVERAGE(O4:O21)</f>
        <v>-7.7333333333333316E-3</v>
      </c>
      <c r="P3" s="129">
        <f t="shared" si="1"/>
        <v>-1.5000000000000005E-2</v>
      </c>
    </row>
    <row r="4" spans="1:16" x14ac:dyDescent="0.35">
      <c r="A4" s="65" t="s">
        <v>208</v>
      </c>
      <c r="B4" s="69">
        <f>SUMIFS(logs!$Q:$Q,logs!$I:$I,VLOOKUP($A4,factor,2,0),logs!$H:$H,risk!B$2,logs!$G:$G,"HV")</f>
        <v>1002820.0515388729</v>
      </c>
      <c r="C4" s="69">
        <f>SUMIFS(logs!$Q:$Q,logs!$I:$I,VLOOKUP($A4,factor,2,0),logs!$H:$H,risk!C$2,logs!$G:$G,"HV")</f>
        <v>0</v>
      </c>
      <c r="D4" s="69">
        <f>SUMIFS(logs!$Q:$Q,logs!$I:$I,VLOOKUP($A4,factor,2,0),logs!$H:$H,risk!D$2,logs!$G:$G,"HV")</f>
        <v>0</v>
      </c>
      <c r="E4" s="69">
        <f>SUMIFS(logs!$Q:$Q,logs!$I:$I,VLOOKUP($A4,factor,2,0),logs!$H:$H,risk!E$2,logs!$G:$G,"HV")</f>
        <v>0</v>
      </c>
      <c r="F4" s="69">
        <f>SUMIFS(logs!$Q:$Q,logs!$I:$I,VLOOKUP($A4,factor,2,0),logs!$H:$H,risk!F$2,logs!$G:$G,"HV")</f>
        <v>14280000</v>
      </c>
      <c r="G4" s="69">
        <f>SUMIFS(logs!$Q:$Q,logs!$I:$I,VLOOKUP($A4,factor,2,0),logs!$H:$H,risk!G$2,logs!$G:$G,"HV")</f>
        <v>0</v>
      </c>
      <c r="H4" s="70">
        <f>SUM(B4:G4)</f>
        <v>15282820.051538873</v>
      </c>
      <c r="J4" s="65" t="s">
        <v>294</v>
      </c>
      <c r="K4" s="69">
        <f>SUMIFS(logs!$Q:$Q,logs!$L:$L,risk!$J4)</f>
        <v>780939.77498345473</v>
      </c>
      <c r="L4" s="69">
        <f>SUMIFS(logs!$P:$P,logs!$L:$L,risk!$J4)</f>
        <v>780939.77498345473</v>
      </c>
      <c r="M4" s="88">
        <f>SUMIFS(logs!$V:$V,logs!$L:$L,risk!$J4)</f>
        <v>-16976.951630075178</v>
      </c>
      <c r="N4" s="160">
        <v>4.0000000000000001E-3</v>
      </c>
      <c r="O4" s="161">
        <v>-0.01</v>
      </c>
      <c r="P4" s="162">
        <v>-2.5000000000000001E-2</v>
      </c>
    </row>
    <row r="5" spans="1:16" x14ac:dyDescent="0.35">
      <c r="A5" s="65" t="s">
        <v>209</v>
      </c>
      <c r="B5" s="69">
        <f>SUMIFS(logs!$Q:$Q,logs!$I:$I,VLOOKUP($A5,factor,2,0),logs!$H:$H,risk!B$2,logs!$G:$G,"HV")</f>
        <v>0</v>
      </c>
      <c r="C5" s="69">
        <f>SUMIFS(logs!$Q:$Q,logs!$I:$I,VLOOKUP($A5,factor,2,0),logs!$H:$H,risk!C$2,logs!$G:$G,"HV")</f>
        <v>0</v>
      </c>
      <c r="D5" s="69">
        <f>SUMIFS(logs!$Q:$Q,logs!$I:$I,VLOOKUP($A5,factor,2,0),logs!$H:$H,risk!D$2,logs!$G:$G,"HV")</f>
        <v>0</v>
      </c>
      <c r="E5" s="69">
        <f>SUMIFS(logs!$Q:$Q,logs!$I:$I,VLOOKUP($A5,factor,2,0),logs!$H:$H,risk!E$2,logs!$G:$G,"HV")</f>
        <v>0</v>
      </c>
      <c r="F5" s="69">
        <f>SUMIFS(logs!$Q:$Q,logs!$I:$I,VLOOKUP($A5,factor,2,0),logs!$H:$H,risk!F$2,logs!$G:$G,"HV")</f>
        <v>0</v>
      </c>
      <c r="G5" s="69">
        <f>SUMIFS(logs!$Q:$Q,logs!$I:$I,VLOOKUP($A5,factor,2,0),logs!$H:$H,risk!G$2,logs!$G:$G,"HV")</f>
        <v>0</v>
      </c>
      <c r="H5" s="70">
        <f>SUM(B5:G5)</f>
        <v>0</v>
      </c>
      <c r="J5" s="65" t="s">
        <v>309</v>
      </c>
      <c r="K5" s="69">
        <f>SUMIFS(logs!$Q:$Q,logs!$L:$L,risk!$J5)</f>
        <v>1297900</v>
      </c>
      <c r="L5" s="69">
        <f>SUMIFS(logs!$P:$P,logs!$L:$L,risk!$J5)</f>
        <v>-602100</v>
      </c>
      <c r="M5" s="88">
        <f>SUMIFS(logs!$V:$V,logs!$L:$L,risk!$J5)</f>
        <v>14694.000000000093</v>
      </c>
      <c r="N5" s="160">
        <v>6.6E-3</v>
      </c>
      <c r="O5" s="161">
        <v>-0.01</v>
      </c>
      <c r="P5" s="162">
        <v>-2.5000000000000001E-2</v>
      </c>
    </row>
    <row r="6" spans="1:16" x14ac:dyDescent="0.35">
      <c r="A6" s="65" t="s">
        <v>210</v>
      </c>
      <c r="B6" s="69">
        <f>SUMIFS(logs!$Q:$Q,logs!$I:$I,VLOOKUP($A6,factor,2,0),logs!$H:$H,risk!B$2,logs!$G:$G,"HV")</f>
        <v>780939.77498345473</v>
      </c>
      <c r="C6" s="69">
        <f>SUMIFS(logs!$Q:$Q,logs!$I:$I,VLOOKUP($A6,factor,2,0),logs!$H:$H,risk!C$2,logs!$G:$G,"HV")</f>
        <v>0</v>
      </c>
      <c r="D6" s="69">
        <f>SUMIFS(logs!$Q:$Q,logs!$I:$I,VLOOKUP($A6,factor,2,0),logs!$H:$H,risk!D$2,logs!$G:$G,"HV")</f>
        <v>0</v>
      </c>
      <c r="E6" s="69">
        <f>SUMIFS(logs!$Q:$Q,logs!$I:$I,VLOOKUP($A6,factor,2,0),logs!$H:$H,risk!E$2,logs!$G:$G,"HV")</f>
        <v>0</v>
      </c>
      <c r="F6" s="69">
        <f>SUMIFS(logs!$Q:$Q,logs!$I:$I,VLOOKUP($A6,factor,2,0),logs!$H:$H,risk!F$2,logs!$G:$G,"HV")</f>
        <v>0</v>
      </c>
      <c r="G6" s="69">
        <f>SUMIFS(logs!$Q:$Q,logs!$I:$I,VLOOKUP($A6,factor,2,0),logs!$H:$H,risk!G$2,logs!$G:$G,"HV")</f>
        <v>0</v>
      </c>
      <c r="H6" s="70">
        <f>SUM(B6:G6)</f>
        <v>780939.77498345473</v>
      </c>
      <c r="J6" s="65" t="s">
        <v>295</v>
      </c>
      <c r="K6" s="69">
        <f>SUMIFS(logs!$Q:$Q,logs!$L:$L,risk!$J6)</f>
        <v>1002820.0515388729</v>
      </c>
      <c r="L6" s="69">
        <f>SUMIFS(logs!$P:$P,logs!$L:$L,risk!$J6)</f>
        <v>-1002820.0515388729</v>
      </c>
      <c r="M6" s="88">
        <f>SUMIFS(logs!$V:$V,logs!$L:$L,risk!$J6)</f>
        <v>1823.3091846161074</v>
      </c>
      <c r="N6" s="160">
        <v>7.0000000000000001E-3</v>
      </c>
      <c r="O6" s="161">
        <v>-0.01</v>
      </c>
      <c r="P6" s="162">
        <v>-2.5000000000000001E-2</v>
      </c>
    </row>
    <row r="7" spans="1:16" x14ac:dyDescent="0.35">
      <c r="A7" s="65" t="s">
        <v>211</v>
      </c>
      <c r="B7" s="69">
        <f>SUMIFS(logs!$Q:$Q,logs!$I:$I,VLOOKUP($A7,factor,2,0),logs!$H:$H,risk!B$2,logs!$G:$G,"HV")</f>
        <v>0</v>
      </c>
      <c r="C7" s="69">
        <f>SUMIFS(logs!$Q:$Q,logs!$I:$I,VLOOKUP($A7,factor,2,0),logs!$H:$H,risk!C$2,logs!$G:$G,"HV")</f>
        <v>0</v>
      </c>
      <c r="D7" s="69">
        <f>SUMIFS(logs!$Q:$Q,logs!$I:$I,VLOOKUP($A7,factor,2,0),logs!$H:$H,risk!D$2,logs!$G:$G,"HV")</f>
        <v>0</v>
      </c>
      <c r="E7" s="69">
        <f>SUMIFS(logs!$Q:$Q,logs!$I:$I,VLOOKUP($A7,factor,2,0),logs!$H:$H,risk!E$2,logs!$G:$G,"HV")</f>
        <v>0</v>
      </c>
      <c r="F7" s="69">
        <f>SUMIFS(logs!$Q:$Q,logs!$I:$I,VLOOKUP($A7,factor,2,0),logs!$H:$H,risk!F$2,logs!$G:$G,"HV")</f>
        <v>0</v>
      </c>
      <c r="G7" s="69">
        <f>SUMIFS(logs!$Q:$Q,logs!$I:$I,VLOOKUP($A7,factor,2,0),logs!$H:$H,risk!G$2,logs!$G:$G,"HV")</f>
        <v>0</v>
      </c>
      <c r="H7" s="70">
        <f>SUM(B7:G7)</f>
        <v>0</v>
      </c>
      <c r="J7" s="65" t="s">
        <v>269</v>
      </c>
      <c r="K7" s="69">
        <f>SUMIFS(logs!$Q:$Q,logs!$L:$L,risk!$J7)</f>
        <v>1550000</v>
      </c>
      <c r="L7" s="69">
        <f>SUMIFS(logs!$P:$P,logs!$L:$L,risk!$J7)</f>
        <v>1550000</v>
      </c>
      <c r="M7" s="88">
        <f>SUMIFS(logs!$V:$V,logs!$L:$L,risk!$J7)</f>
        <v>102000</v>
      </c>
      <c r="N7" s="160">
        <v>3.0000000000000001E-3</v>
      </c>
      <c r="O7" s="161">
        <v>-0.01</v>
      </c>
      <c r="P7" s="162">
        <v>-2.5000000000000001E-2</v>
      </c>
    </row>
    <row r="8" spans="1:16" x14ac:dyDescent="0.35">
      <c r="A8" s="65" t="s">
        <v>259</v>
      </c>
      <c r="B8" s="69">
        <f>SUMIFS(logs!$Q:$Q,logs!$I:$I,VLOOKUP($A8,factor,2,0),logs!$H:$H,risk!B$2,logs!$G:$G,"HV")</f>
        <v>0</v>
      </c>
      <c r="C8" s="69">
        <f>SUMIFS(logs!$Q:$Q,logs!$I:$I,VLOOKUP($A8,factor,2,0),logs!$H:$H,risk!C$2,logs!$G:$G,"HV")</f>
        <v>0</v>
      </c>
      <c r="D8" s="69">
        <f>SUMIFS(logs!$Q:$Q,logs!$I:$I,VLOOKUP($A8,factor,2,0),logs!$H:$H,risk!D$2,logs!$G:$G,"HV")</f>
        <v>0</v>
      </c>
      <c r="E8" s="69">
        <f>SUMIFS(logs!$Q:$Q,logs!$I:$I,VLOOKUP($A8,factor,2,0),logs!$H:$H,risk!E$2,logs!$G:$G,"HV")</f>
        <v>0</v>
      </c>
      <c r="F8" s="69">
        <f>SUMIFS(logs!$Q:$Q,logs!$I:$I,VLOOKUP($A8,factor,2,0),logs!$H:$H,risk!F$2,logs!$G:$G,"HV")</f>
        <v>0</v>
      </c>
      <c r="G8" s="69">
        <f>SUMIFS(logs!$Q:$Q,logs!$I:$I,VLOOKUP($A8,factor,2,0),logs!$H:$H,risk!G$2,logs!$G:$G,"HV")</f>
        <v>0</v>
      </c>
      <c r="H8" s="70">
        <f>SUM(B8:G8)</f>
        <v>0</v>
      </c>
      <c r="J8" s="65" t="s">
        <v>308</v>
      </c>
      <c r="K8" s="69">
        <f>SUMIFS(logs!$Q:$Q,logs!$L:$L,risk!$J8)</f>
        <v>12730000</v>
      </c>
      <c r="L8" s="69">
        <f>SUMIFS(logs!$P:$P,logs!$L:$L,risk!$J8)</f>
        <v>3590000</v>
      </c>
      <c r="M8" s="88">
        <f>SUMIFS(logs!$V:$V,logs!$L:$L,risk!$J8)</f>
        <v>187500</v>
      </c>
      <c r="N8" s="160">
        <v>9.4999999999999998E-3</v>
      </c>
      <c r="O8" s="161">
        <v>-0.01</v>
      </c>
      <c r="P8" s="162">
        <v>-2.5000000000000001E-2</v>
      </c>
    </row>
    <row r="9" spans="1:16" x14ac:dyDescent="0.35">
      <c r="A9" s="66" t="s">
        <v>204</v>
      </c>
      <c r="B9" s="71">
        <f>SUM(B3:B8)</f>
        <v>3081659.826522328</v>
      </c>
      <c r="C9" s="71">
        <f t="shared" ref="C9:H9" si="2">SUM(C3:C8)</f>
        <v>0</v>
      </c>
      <c r="D9" s="71">
        <f t="shared" si="2"/>
        <v>0</v>
      </c>
      <c r="E9" s="71">
        <f t="shared" si="2"/>
        <v>240240</v>
      </c>
      <c r="F9" s="71">
        <f t="shared" si="2"/>
        <v>14280000</v>
      </c>
      <c r="G9" s="71">
        <f t="shared" si="2"/>
        <v>0</v>
      </c>
      <c r="H9" s="72">
        <f t="shared" si="2"/>
        <v>17601899.826522328</v>
      </c>
      <c r="J9" s="65" t="s">
        <v>268</v>
      </c>
      <c r="K9" s="69">
        <f>SUMIFS(logs!$Q:$Q,logs!$L:$L,risk!$J9)</f>
        <v>240240</v>
      </c>
      <c r="L9" s="69">
        <f>SUMIFS(logs!$P:$P,logs!$L:$L,risk!$J9)</f>
        <v>240240</v>
      </c>
      <c r="M9" s="88">
        <f>SUMIFS(logs!$V:$V,logs!$L:$L,risk!$J9)</f>
        <v>2856.0000000000141</v>
      </c>
      <c r="N9" s="160">
        <v>3.5000000000000001E-3</v>
      </c>
      <c r="O9" s="161">
        <v>-0.01</v>
      </c>
      <c r="P9" s="162">
        <v>-2.5000000000000001E-2</v>
      </c>
    </row>
    <row r="10" spans="1:16" x14ac:dyDescent="0.35">
      <c r="J10" s="65" t="s">
        <v>262</v>
      </c>
      <c r="K10" s="69">
        <f>SUMIFS(logs!$Q:$Q,logs!$L:$L,risk!$J10)</f>
        <v>2380000</v>
      </c>
      <c r="L10" s="69">
        <f>SUMIFS(logs!$P:$P,logs!$L:$L,risk!$J10)</f>
        <v>20000</v>
      </c>
      <c r="M10" s="88">
        <f>SUMIFS(logs!$V:$V,logs!$L:$L,risk!$J10)</f>
        <v>-110000</v>
      </c>
      <c r="N10" s="160">
        <v>4.0000000000000001E-3</v>
      </c>
      <c r="O10" s="161">
        <v>-6.6E-3</v>
      </c>
      <c r="P10" s="162">
        <v>-0.01</v>
      </c>
    </row>
    <row r="11" spans="1:16" x14ac:dyDescent="0.35">
      <c r="A11" s="66" t="s">
        <v>213</v>
      </c>
      <c r="B11" s="67" t="s">
        <v>14</v>
      </c>
      <c r="C11" s="67" t="s">
        <v>31</v>
      </c>
      <c r="D11" s="67" t="s">
        <v>64</v>
      </c>
      <c r="E11" s="67" t="s">
        <v>94</v>
      </c>
      <c r="F11" s="67" t="s">
        <v>108</v>
      </c>
      <c r="G11" s="67" t="s">
        <v>115</v>
      </c>
      <c r="H11" s="66" t="s">
        <v>204</v>
      </c>
      <c r="J11" s="65" t="s">
        <v>296</v>
      </c>
      <c r="K11" s="69">
        <f>SUMIFS(logs!$Q:$Q,logs!$L:$L,risk!$J11)</f>
        <v>2965500</v>
      </c>
      <c r="L11" s="69">
        <f>SUMIFS(logs!$P:$P,logs!$L:$L,risk!$J11)</f>
        <v>-28500</v>
      </c>
      <c r="M11" s="88">
        <f>SUMIFS(logs!$V:$V,logs!$L:$L,risk!$J11)</f>
        <v>-106500</v>
      </c>
      <c r="N11" s="160">
        <v>8.0000000000000002E-3</v>
      </c>
      <c r="O11" s="161">
        <v>-6.6E-3</v>
      </c>
      <c r="P11" s="162">
        <v>-0.01</v>
      </c>
    </row>
    <row r="12" spans="1:16" x14ac:dyDescent="0.35">
      <c r="A12" s="65" t="s">
        <v>207</v>
      </c>
      <c r="B12" s="69">
        <f>SUMIFS(logs!$Q:$Q,logs!$I:$I,VLOOKUP($A12,factor,2,0),logs!$H:$H,risk!B$11,logs!$G:$G,"LV")</f>
        <v>11185229.960616522</v>
      </c>
      <c r="C12" s="69">
        <f>SUMIFS(logs!$Q:$Q,logs!$I:$I,VLOOKUP($A12,factor,2,0),logs!$H:$H,risk!C$11,logs!$G:$G,"LV")</f>
        <v>0</v>
      </c>
      <c r="D12" s="69">
        <f>SUMIFS(logs!$Q:$Q,logs!$I:$I,VLOOKUP($A12,factor,2,0),logs!$H:$H,risk!D$11,logs!$G:$G,"LV")</f>
        <v>0</v>
      </c>
      <c r="E12" s="69">
        <f>SUMIFS(logs!$Q:$Q,logs!$I:$I,VLOOKUP($A12,factor,2,0),logs!$H:$H,risk!E$11,logs!$G:$G,"LV")</f>
        <v>0</v>
      </c>
      <c r="F12" s="69">
        <f>SUMIFS(logs!$Q:$Q,logs!$I:$I,VLOOKUP($A12,factor,2,0),logs!$H:$H,risk!F$11,logs!$G:$G,"LV")</f>
        <v>0</v>
      </c>
      <c r="G12" s="69">
        <f>SUMIFS(logs!$Q:$Q,logs!$I:$I,VLOOKUP($A12,factor,2,0),logs!$H:$H,risk!G$11,logs!$G:$G,"LV")</f>
        <v>0</v>
      </c>
      <c r="H12" s="70">
        <f>SUM(B12:G12)</f>
        <v>11185229.960616522</v>
      </c>
      <c r="J12" s="65" t="s">
        <v>266</v>
      </c>
      <c r="K12" s="69">
        <f>SUMIFS(logs!$Q:$Q,logs!$L:$L,risk!$J12)</f>
        <v>3005000</v>
      </c>
      <c r="L12" s="69">
        <f>SUMIFS(logs!$P:$P,logs!$L:$L,risk!$J12)</f>
        <v>-20000.000000000233</v>
      </c>
      <c r="M12" s="88">
        <f>SUMIFS(logs!$V:$V,logs!$L:$L,risk!$J12)</f>
        <v>20000.000000000109</v>
      </c>
      <c r="N12" s="160">
        <v>6.1999999999999998E-3</v>
      </c>
      <c r="O12" s="161">
        <v>-6.6E-3</v>
      </c>
      <c r="P12" s="162">
        <v>-0.01</v>
      </c>
    </row>
    <row r="13" spans="1:16" x14ac:dyDescent="0.35">
      <c r="A13" s="65" t="s">
        <v>208</v>
      </c>
      <c r="B13" s="69">
        <f>SUMIFS(logs!$Q:$Q,logs!$I:$I,VLOOKUP($A13,factor,2,0),logs!$H:$H,risk!B$11,logs!$G:$G,"LV")</f>
        <v>0</v>
      </c>
      <c r="C13" s="69">
        <f>SUMIFS(logs!$Q:$Q,logs!$I:$I,VLOOKUP($A13,factor,2,0),logs!$H:$H,risk!C$11,logs!$G:$G,"LV")</f>
        <v>0</v>
      </c>
      <c r="D13" s="69">
        <f>SUMIFS(logs!$Q:$Q,logs!$I:$I,VLOOKUP($A13,factor,2,0),logs!$H:$H,risk!D$11,logs!$G:$G,"LV")</f>
        <v>2965500</v>
      </c>
      <c r="E13" s="69">
        <f>SUMIFS(logs!$Q:$Q,logs!$I:$I,VLOOKUP($A13,factor,2,0),logs!$H:$H,risk!E$11,logs!$G:$G,"LV")</f>
        <v>0</v>
      </c>
      <c r="F13" s="69">
        <f>SUMIFS(logs!$Q:$Q,logs!$I:$I,VLOOKUP($A13,factor,2,0),logs!$H:$H,risk!F$11,logs!$G:$G,"LV")</f>
        <v>9300000</v>
      </c>
      <c r="G13" s="69">
        <f>SUMIFS(logs!$Q:$Q,logs!$I:$I,VLOOKUP($A13,factor,2,0),logs!$H:$H,risk!G$11,logs!$G:$G,"LV")</f>
        <v>0</v>
      </c>
      <c r="H13" s="70">
        <f>SUM(B13:G13)</f>
        <v>12265500</v>
      </c>
      <c r="J13" s="65" t="s">
        <v>271</v>
      </c>
      <c r="K13" s="69">
        <f>SUMIFS(logs!$Q:$Q,logs!$L:$L,risk!$J13)</f>
        <v>868750</v>
      </c>
      <c r="L13" s="69">
        <f>SUMIFS(logs!$P:$P,logs!$L:$L,risk!$J13)</f>
        <v>6250</v>
      </c>
      <c r="M13" s="88">
        <f>SUMIFS(logs!$V:$V,logs!$L:$L,risk!$J13)</f>
        <v>-29999.999999999945</v>
      </c>
      <c r="N13" s="160">
        <v>2.2000000000000001E-3</v>
      </c>
      <c r="O13" s="161">
        <v>-6.6E-3</v>
      </c>
      <c r="P13" s="162">
        <v>-0.01</v>
      </c>
    </row>
    <row r="14" spans="1:16" x14ac:dyDescent="0.35">
      <c r="A14" s="65" t="s">
        <v>209</v>
      </c>
      <c r="B14" s="69">
        <f>SUMIFS(logs!$Q:$Q,logs!$I:$I,VLOOKUP($A14,factor,2,0),logs!$H:$H,risk!B$11,logs!$G:$G,"LV")</f>
        <v>3201306.3620406874</v>
      </c>
      <c r="C14" s="69">
        <f>SUMIFS(logs!$Q:$Q,logs!$I:$I,VLOOKUP($A14,factor,2,0),logs!$H:$H,risk!C$11,logs!$G:$G,"LV")</f>
        <v>7001750</v>
      </c>
      <c r="D14" s="69">
        <f>SUMIFS(logs!$Q:$Q,logs!$I:$I,VLOOKUP($A14,factor,2,0),logs!$H:$H,risk!D$11,logs!$G:$G,"LV")</f>
        <v>2380000</v>
      </c>
      <c r="E14" s="69">
        <f>SUMIFS(logs!$Q:$Q,logs!$I:$I,VLOOKUP($A14,factor,2,0),logs!$H:$H,risk!E$11,logs!$G:$G,"LV")</f>
        <v>0</v>
      </c>
      <c r="F14" s="69">
        <f>SUMIFS(logs!$Q:$Q,logs!$I:$I,VLOOKUP($A14,factor,2,0),logs!$H:$H,risk!F$11,logs!$G:$G,"LV")</f>
        <v>0</v>
      </c>
      <c r="G14" s="69">
        <f>SUMIFS(logs!$Q:$Q,logs!$I:$I,VLOOKUP($A14,factor,2,0),logs!$H:$H,risk!G$11,logs!$G:$G,"LV")</f>
        <v>0</v>
      </c>
      <c r="H14" s="70">
        <f>SUM(B14:G14)</f>
        <v>12583056.362040687</v>
      </c>
      <c r="J14" s="65" t="s">
        <v>263</v>
      </c>
      <c r="K14" s="69">
        <f>SUMIFS(logs!$Q:$Q,logs!$L:$L,risk!$J14)</f>
        <v>3478000.0000000005</v>
      </c>
      <c r="L14" s="69">
        <f>SUMIFS(logs!$P:$P,logs!$L:$L,risk!$J14)</f>
        <v>-37000</v>
      </c>
      <c r="M14" s="88">
        <f>SUMIFS(logs!$V:$V,logs!$L:$L,risk!$J14)</f>
        <v>33300.000000000029</v>
      </c>
      <c r="N14" s="160">
        <v>3.5000000000000001E-3</v>
      </c>
      <c r="O14" s="161">
        <v>-6.6E-3</v>
      </c>
      <c r="P14" s="162">
        <v>-0.01</v>
      </c>
    </row>
    <row r="15" spans="1:16" x14ac:dyDescent="0.35">
      <c r="A15" s="65" t="s">
        <v>210</v>
      </c>
      <c r="B15" s="69">
        <f>SUMIFS(logs!$Q:$Q,logs!$I:$I,VLOOKUP($A15,factor,2,0),logs!$H:$H,risk!B$11,logs!$G:$G,"LV")</f>
        <v>0</v>
      </c>
      <c r="C15" s="69">
        <f>SUMIFS(logs!$Q:$Q,logs!$I:$I,VLOOKUP($A15,factor,2,0),logs!$H:$H,risk!C$11,logs!$G:$G,"LV")</f>
        <v>0</v>
      </c>
      <c r="D15" s="69">
        <f>SUMIFS(logs!$Q:$Q,logs!$I:$I,VLOOKUP($A15,factor,2,0),logs!$H:$H,risk!D$11,logs!$G:$G,"LV")</f>
        <v>0</v>
      </c>
      <c r="E15" s="69">
        <f>SUMIFS(logs!$Q:$Q,logs!$I:$I,VLOOKUP($A15,factor,2,0),logs!$H:$H,risk!E$11,logs!$G:$G,"LV")</f>
        <v>0</v>
      </c>
      <c r="F15" s="69">
        <f>SUMIFS(logs!$Q:$Q,logs!$I:$I,VLOOKUP($A15,factor,2,0),logs!$H:$H,risk!F$11,logs!$G:$G,"LV")</f>
        <v>0</v>
      </c>
      <c r="G15" s="69">
        <f>SUMIFS(logs!$Q:$Q,logs!$I:$I,VLOOKUP($A15,factor,2,0),logs!$H:$H,risk!G$11,logs!$G:$G,"LV")</f>
        <v>0</v>
      </c>
      <c r="H15" s="70">
        <f>SUM(B15:G15)</f>
        <v>0</v>
      </c>
      <c r="J15" s="65" t="s">
        <v>270</v>
      </c>
      <c r="K15" s="69">
        <f>SUMIFS(logs!$Q:$Q,logs!$L:$L,risk!$J15)</f>
        <v>2655000</v>
      </c>
      <c r="L15" s="69">
        <f>SUMIFS(logs!$P:$P,logs!$L:$L,risk!$J15)</f>
        <v>-15000</v>
      </c>
      <c r="M15" s="88">
        <f>SUMIFS(logs!$V:$V,logs!$L:$L,risk!$J15)</f>
        <v>-22500.000000000087</v>
      </c>
      <c r="N15" s="160">
        <v>1.5E-3</v>
      </c>
      <c r="O15" s="161">
        <v>-6.6E-3</v>
      </c>
      <c r="P15" s="162">
        <v>-0.01</v>
      </c>
    </row>
    <row r="16" spans="1:16" x14ac:dyDescent="0.35">
      <c r="A16" s="65" t="s">
        <v>211</v>
      </c>
      <c r="B16" s="69">
        <f>SUMIFS(logs!$Q:$Q,logs!$I:$I,VLOOKUP($A16,factor,2,0),logs!$H:$H,risk!B$11,logs!$G:$G,"LV")</f>
        <v>4208269.7896584468</v>
      </c>
      <c r="C16" s="69">
        <f>SUMIFS(logs!$Q:$Q,logs!$I:$I,VLOOKUP($A16,factor,2,0),logs!$H:$H,risk!C$11,logs!$G:$G,"LV")</f>
        <v>0</v>
      </c>
      <c r="D16" s="69">
        <f>SUMIFS(logs!$Q:$Q,logs!$I:$I,VLOOKUP($A16,factor,2,0),logs!$H:$H,risk!D$11,logs!$G:$G,"LV")</f>
        <v>3005000</v>
      </c>
      <c r="E16" s="69">
        <f>SUMIFS(logs!$Q:$Q,logs!$I:$I,VLOOKUP($A16,factor,2,0),logs!$H:$H,risk!E$11,logs!$G:$G,"LV")</f>
        <v>2420096</v>
      </c>
      <c r="F16" s="69">
        <f>SUMIFS(logs!$Q:$Q,logs!$I:$I,VLOOKUP($A16,factor,2,0),logs!$H:$H,risk!F$11,logs!$G:$G,"LV")</f>
        <v>0</v>
      </c>
      <c r="G16" s="69">
        <f>SUMIFS(logs!$Q:$Q,logs!$I:$I,VLOOKUP($A16,factor,2,0),logs!$H:$H,risk!G$11,logs!$G:$G,"LV")</f>
        <v>0</v>
      </c>
      <c r="H16" s="70">
        <f t="shared" ref="H16:H17" si="3">SUM(B16:G16)</f>
        <v>9633365.7896584459</v>
      </c>
      <c r="J16" s="65" t="s">
        <v>261</v>
      </c>
      <c r="K16" s="69">
        <f>SUMIFS(logs!$Q:$Q,logs!$L:$L,risk!$J16)</f>
        <v>8413800</v>
      </c>
      <c r="L16" s="69">
        <f>SUMIFS(logs!$P:$P,logs!$L:$L,risk!$J16)</f>
        <v>39960</v>
      </c>
      <c r="M16" s="88">
        <f>SUMIFS(logs!$V:$V,logs!$L:$L,risk!$J16)</f>
        <v>85692.000000000029</v>
      </c>
      <c r="N16" s="160">
        <v>1.1999999999999999E-3</v>
      </c>
      <c r="O16" s="161">
        <v>-6.6E-3</v>
      </c>
      <c r="P16" s="162">
        <v>-0.01</v>
      </c>
    </row>
    <row r="17" spans="1:16" x14ac:dyDescent="0.35">
      <c r="A17" s="65" t="s">
        <v>259</v>
      </c>
      <c r="B17" s="69">
        <f>SUMIFS(logs!$Q:$Q,logs!$I:$I,VLOOKUP($A17,factor,2,0),logs!$H:$H,risk!B$11,logs!$G:$G,"LV")</f>
        <v>0</v>
      </c>
      <c r="C17" s="69">
        <f>SUMIFS(logs!$Q:$Q,logs!$I:$I,VLOOKUP($A17,factor,2,0),logs!$H:$H,risk!C$11,logs!$G:$G,"LV")</f>
        <v>0</v>
      </c>
      <c r="D17" s="69">
        <f>SUMIFS(logs!$Q:$Q,logs!$I:$I,VLOOKUP($A17,factor,2,0),logs!$H:$H,risk!D$11,logs!$G:$G,"LV")</f>
        <v>0</v>
      </c>
      <c r="E17" s="69">
        <f>SUMIFS(logs!$Q:$Q,logs!$I:$I,VLOOKUP($A17,factor,2,0),logs!$H:$H,risk!E$11,logs!$G:$G,"LV")</f>
        <v>0</v>
      </c>
      <c r="F17" s="69">
        <f>SUMIFS(logs!$Q:$Q,logs!$I:$I,VLOOKUP($A17,factor,2,0),logs!$H:$H,risk!F$11,logs!$G:$G,"LV")</f>
        <v>0</v>
      </c>
      <c r="G17" s="69">
        <f>SUMIFS(logs!$Q:$Q,logs!$I:$I,VLOOKUP($A17,factor,2,0),logs!$H:$H,risk!G$11,logs!$G:$G,"LV")</f>
        <v>0</v>
      </c>
      <c r="H17" s="70">
        <f t="shared" si="3"/>
        <v>0</v>
      </c>
      <c r="J17" s="65" t="s">
        <v>264</v>
      </c>
      <c r="K17" s="69">
        <f>SUMIFS(logs!$Q:$Q,logs!$L:$L,risk!$J17)</f>
        <v>2771429.9606165211</v>
      </c>
      <c r="L17" s="69">
        <f>SUMIFS(logs!$P:$P,logs!$L:$L,risk!$J17)</f>
        <v>-48621.578256430104</v>
      </c>
      <c r="M17" s="88">
        <f>SUMIFS(logs!$V:$V,logs!$L:$L,risk!$J17)</f>
        <v>10210.531433850527</v>
      </c>
      <c r="N17" s="160">
        <v>4.0000000000000001E-3</v>
      </c>
      <c r="O17" s="161">
        <v>-6.6E-3</v>
      </c>
      <c r="P17" s="162">
        <v>-0.01</v>
      </c>
    </row>
    <row r="18" spans="1:16" x14ac:dyDescent="0.35">
      <c r="A18" s="66" t="s">
        <v>204</v>
      </c>
      <c r="B18" s="71">
        <f>SUM(B12:B17)</f>
        <v>18594806.112315655</v>
      </c>
      <c r="C18" s="71">
        <f t="shared" ref="C18:H18" si="4">SUM(C12:C17)</f>
        <v>7001750</v>
      </c>
      <c r="D18" s="71">
        <f t="shared" si="4"/>
        <v>8350500</v>
      </c>
      <c r="E18" s="71">
        <f t="shared" si="4"/>
        <v>2420096</v>
      </c>
      <c r="F18" s="71">
        <f t="shared" si="4"/>
        <v>9300000</v>
      </c>
      <c r="G18" s="71">
        <f t="shared" si="4"/>
        <v>0</v>
      </c>
      <c r="H18" s="72">
        <f t="shared" si="4"/>
        <v>45667152.112315655</v>
      </c>
      <c r="J18" s="65" t="s">
        <v>297</v>
      </c>
      <c r="K18" s="69">
        <f>SUMIFS(logs!$Q:$Q,logs!$L:$L,risk!$J18)</f>
        <v>3201306.3620406874</v>
      </c>
      <c r="L18" s="69">
        <f>SUMIFS(logs!$P:$P,logs!$L:$L,risk!$J18)</f>
        <v>-33666.158317267662</v>
      </c>
      <c r="M18" s="88">
        <f>SUMIFS(logs!$V:$V,logs!$L:$L,risk!$J18)</f>
        <v>-22444.105544845108</v>
      </c>
      <c r="N18" s="160">
        <v>6.0000000000000001E-3</v>
      </c>
      <c r="O18" s="161">
        <v>-6.6E-3</v>
      </c>
      <c r="P18" s="162">
        <v>-0.01</v>
      </c>
    </row>
    <row r="19" spans="1:16" x14ac:dyDescent="0.35">
      <c r="J19" s="65" t="s">
        <v>265</v>
      </c>
      <c r="K19" s="69">
        <f>SUMIFS(logs!$Q:$Q,logs!$L:$L,risk!$J19)</f>
        <v>4208269.7896584468</v>
      </c>
      <c r="L19" s="69">
        <f>SUMIFS(logs!$P:$P,logs!$L:$L,risk!$J19)</f>
        <v>107904.35358098592</v>
      </c>
      <c r="M19" s="88">
        <f>SUMIFS(logs!$V:$V,logs!$L:$L,risk!$J19)</f>
        <v>-315440.39363508148</v>
      </c>
      <c r="N19" s="160">
        <v>5.0000000000000001E-3</v>
      </c>
      <c r="O19" s="161">
        <v>-6.6E-3</v>
      </c>
      <c r="P19" s="162">
        <v>-0.01</v>
      </c>
    </row>
    <row r="20" spans="1:16" ht="19.5" x14ac:dyDescent="0.45">
      <c r="A20" s="42" t="s">
        <v>273</v>
      </c>
      <c r="J20" s="65" t="s">
        <v>267</v>
      </c>
      <c r="K20" s="69">
        <f>SUMIFS(logs!$Q:$Q,logs!$L:$L,risk!$J20)</f>
        <v>9300000</v>
      </c>
      <c r="L20" s="69">
        <f>SUMIFS(logs!$P:$P,logs!$L:$L,risk!$J20)</f>
        <v>0</v>
      </c>
      <c r="M20" s="88">
        <f>SUMIFS(logs!$V:$V,logs!$L:$L,risk!$J20)</f>
        <v>306000</v>
      </c>
      <c r="N20" s="160">
        <v>1E-3</v>
      </c>
      <c r="O20" s="161">
        <v>-6.6E-3</v>
      </c>
      <c r="P20" s="162">
        <v>-0.01</v>
      </c>
    </row>
    <row r="21" spans="1:16" x14ac:dyDescent="0.35">
      <c r="A21" s="66"/>
      <c r="B21" s="67" t="s">
        <v>14</v>
      </c>
      <c r="C21" s="67" t="s">
        <v>31</v>
      </c>
      <c r="D21" s="67" t="s">
        <v>64</v>
      </c>
      <c r="E21" s="67" t="s">
        <v>94</v>
      </c>
      <c r="F21" s="67" t="s">
        <v>108</v>
      </c>
      <c r="G21" s="67" t="s">
        <v>115</v>
      </c>
      <c r="H21" s="66" t="s">
        <v>204</v>
      </c>
      <c r="J21" s="65" t="s">
        <v>298</v>
      </c>
      <c r="K21" s="69">
        <f>SUMIFS(logs!$Q:$Q,logs!$L:$L,risk!$J21)</f>
        <v>2420096</v>
      </c>
      <c r="L21" s="69">
        <f>SUMIFS(logs!$P:$P,logs!$L:$L,risk!$J21)</f>
        <v>-16576.000000000233</v>
      </c>
      <c r="M21" s="88">
        <f>SUMIFS(logs!$V:$V,logs!$L:$L,risk!$J21)</f>
        <v>46412.799999999952</v>
      </c>
      <c r="N21" s="160">
        <v>3.0000000000000001E-3</v>
      </c>
      <c r="O21" s="161">
        <v>-6.6E-3</v>
      </c>
      <c r="P21" s="162">
        <v>-0.01</v>
      </c>
    </row>
    <row r="22" spans="1:16" x14ac:dyDescent="0.35">
      <c r="A22" s="65" t="s">
        <v>21</v>
      </c>
      <c r="B22" s="69">
        <f>SUMIFS(logs!$Q:$Q,logs!$D:$D,risk!$A22,logs!$H:$H,risk!B$21)</f>
        <v>0</v>
      </c>
      <c r="C22" s="69">
        <f>SUMIFS(logs!$Q:$Q,logs!$D:$D,risk!$A22,logs!$H:$H,risk!C$21)</f>
        <v>1320000</v>
      </c>
      <c r="D22" s="69">
        <f>SUMIFS(logs!$Q:$Q,logs!$D:$D,risk!$A22,logs!$H:$H,risk!D$21)</f>
        <v>0</v>
      </c>
      <c r="E22" s="69">
        <f>SUMIFS(logs!$Q:$Q,logs!$D:$D,risk!$A22,logs!$H:$H,risk!E$21)</f>
        <v>0</v>
      </c>
      <c r="F22" s="69">
        <f>SUMIFS(logs!$Q:$Q,logs!$D:$D,risk!$A22,logs!$H:$H,risk!F$21)</f>
        <v>0</v>
      </c>
      <c r="G22" s="69">
        <f>SUMIFS(logs!$Q:$Q,logs!$D:$D,risk!$A22,logs!$H:$H,risk!G$21)</f>
        <v>0</v>
      </c>
      <c r="H22" s="70">
        <f>SUM(B22:G22)</f>
        <v>1320000</v>
      </c>
      <c r="J22" s="65"/>
      <c r="K22" s="69"/>
      <c r="L22" s="69"/>
      <c r="M22" s="88"/>
      <c r="N22" s="160"/>
      <c r="O22" s="161"/>
      <c r="P22" s="162"/>
    </row>
    <row r="23" spans="1:16" x14ac:dyDescent="0.35">
      <c r="A23" s="65" t="s">
        <v>24</v>
      </c>
      <c r="B23" s="69">
        <f>SUMIFS(logs!$Q:$Q,logs!$D:$D,risk!$A23,logs!$H:$H,risk!B$21)</f>
        <v>0</v>
      </c>
      <c r="C23" s="69">
        <f>SUMIFS(logs!$Q:$Q,logs!$D:$D,risk!$A23,logs!$H:$H,risk!C$21)</f>
        <v>0</v>
      </c>
      <c r="D23" s="69">
        <f>SUMIFS(logs!$Q:$Q,logs!$D:$D,risk!$A23,logs!$H:$H,risk!D$21)</f>
        <v>0</v>
      </c>
      <c r="E23" s="69">
        <f>SUMIFS(logs!$Q:$Q,logs!$D:$D,risk!$A23,logs!$H:$H,risk!E$21)</f>
        <v>0</v>
      </c>
      <c r="F23" s="69">
        <f>SUMIFS(logs!$Q:$Q,logs!$D:$D,risk!$A23,logs!$H:$H,risk!F$21)</f>
        <v>2590000</v>
      </c>
      <c r="G23" s="69">
        <f>SUMIFS(logs!$Q:$Q,logs!$D:$D,risk!$A23,logs!$H:$H,risk!G$21)</f>
        <v>0</v>
      </c>
      <c r="H23" s="70">
        <f t="shared" ref="H23:H38" si="5">SUM(B23:G23)</f>
        <v>2590000</v>
      </c>
      <c r="J23" s="65"/>
      <c r="K23" s="69"/>
      <c r="L23" s="69"/>
      <c r="M23" s="88"/>
      <c r="N23" s="160"/>
      <c r="O23" s="161"/>
      <c r="P23" s="162"/>
    </row>
    <row r="24" spans="1:16" x14ac:dyDescent="0.35">
      <c r="A24" s="65" t="s">
        <v>26</v>
      </c>
      <c r="B24" s="69">
        <f>SUMIFS(logs!$Q:$Q,logs!$D:$D,risk!$A24,logs!$H:$H,risk!B$21)</f>
        <v>5559333.1583210221</v>
      </c>
      <c r="C24" s="69">
        <f>SUMIFS(logs!$Q:$Q,logs!$D:$D,risk!$A24,logs!$H:$H,risk!C$21)</f>
        <v>1335000</v>
      </c>
      <c r="D24" s="69">
        <f>SUMIFS(logs!$Q:$Q,logs!$D:$D,risk!$A24,logs!$H:$H,risk!D$21)</f>
        <v>0</v>
      </c>
      <c r="E24" s="69">
        <f>SUMIFS(logs!$Q:$Q,logs!$D:$D,risk!$A24,logs!$H:$H,risk!E$21)</f>
        <v>1201760</v>
      </c>
      <c r="F24" s="69">
        <f>SUMIFS(logs!$Q:$Q,logs!$D:$D,risk!$A24,logs!$H:$H,risk!F$21)</f>
        <v>0</v>
      </c>
      <c r="G24" s="69">
        <f>SUMIFS(logs!$Q:$Q,logs!$D:$D,risk!$A24,logs!$H:$H,risk!G$21)</f>
        <v>0</v>
      </c>
      <c r="H24" s="70">
        <f t="shared" si="5"/>
        <v>8096093.1583210221</v>
      </c>
      <c r="J24" s="65"/>
      <c r="K24" s="69"/>
      <c r="L24" s="69"/>
      <c r="M24" s="88"/>
      <c r="N24" s="160"/>
      <c r="O24" s="161"/>
      <c r="P24" s="162"/>
    </row>
    <row r="25" spans="1:16" x14ac:dyDescent="0.35">
      <c r="A25" s="65" t="s">
        <v>29</v>
      </c>
      <c r="B25" s="69">
        <f>SUMIFS(logs!$Q:$Q,logs!$D:$D,risk!$A25,logs!$H:$H,risk!B$21)</f>
        <v>0</v>
      </c>
      <c r="C25" s="69">
        <f>SUMIFS(logs!$Q:$Q,logs!$D:$D,risk!$A25,logs!$H:$H,risk!C$21)</f>
        <v>0</v>
      </c>
      <c r="D25" s="69">
        <f>SUMIFS(logs!$Q:$Q,logs!$D:$D,risk!$A25,logs!$H:$H,risk!D$21)</f>
        <v>4181000</v>
      </c>
      <c r="E25" s="69">
        <f>SUMIFS(logs!$Q:$Q,logs!$D:$D,risk!$A25,logs!$H:$H,risk!E$21)</f>
        <v>0</v>
      </c>
      <c r="F25" s="69">
        <f>SUMIFS(logs!$Q:$Q,logs!$D:$D,risk!$A25,logs!$H:$H,risk!F$21)</f>
        <v>16340000</v>
      </c>
      <c r="G25" s="69">
        <f>SUMIFS(logs!$Q:$Q,logs!$D:$D,risk!$A25,logs!$H:$H,risk!G$21)</f>
        <v>0</v>
      </c>
      <c r="H25" s="70">
        <f t="shared" si="5"/>
        <v>20521000</v>
      </c>
      <c r="J25" s="65"/>
      <c r="K25" s="69"/>
      <c r="L25" s="69"/>
      <c r="M25" s="88"/>
      <c r="N25" s="160"/>
      <c r="O25" s="161"/>
      <c r="P25" s="162"/>
    </row>
    <row r="26" spans="1:16" x14ac:dyDescent="0.35">
      <c r="A26" s="65" t="s">
        <v>4</v>
      </c>
      <c r="B26" s="69">
        <f>SUMIFS(logs!$Q:$Q,logs!$D:$D,risk!$A26,logs!$H:$H,risk!B$21)</f>
        <v>4189465.7694364758</v>
      </c>
      <c r="C26" s="69">
        <f>SUMIFS(logs!$Q:$Q,logs!$D:$D,risk!$A26,logs!$H:$H,risk!C$21)</f>
        <v>2195000</v>
      </c>
      <c r="D26" s="69">
        <f>SUMIFS(logs!$Q:$Q,logs!$D:$D,risk!$A26,logs!$H:$H,risk!D$21)</f>
        <v>0</v>
      </c>
      <c r="E26" s="69">
        <f>SUMIFS(logs!$Q:$Q,logs!$D:$D,risk!$A26,logs!$H:$H,risk!E$21)</f>
        <v>0</v>
      </c>
      <c r="F26" s="69">
        <f>SUMIFS(logs!$Q:$Q,logs!$D:$D,risk!$A26,logs!$H:$H,risk!F$21)</f>
        <v>0</v>
      </c>
      <c r="G26" s="69">
        <f>SUMIFS(logs!$Q:$Q,logs!$D:$D,risk!$A26,logs!$H:$H,risk!G$21)</f>
        <v>0</v>
      </c>
      <c r="H26" s="70">
        <f t="shared" si="5"/>
        <v>6384465.7694364758</v>
      </c>
      <c r="J26" s="89"/>
      <c r="K26" s="90"/>
      <c r="L26" s="90"/>
      <c r="M26" s="91"/>
      <c r="N26" s="163"/>
      <c r="O26" s="164"/>
      <c r="P26" s="165"/>
    </row>
    <row r="27" spans="1:16" x14ac:dyDescent="0.35">
      <c r="A27" s="65" t="s">
        <v>35</v>
      </c>
      <c r="B27" s="69">
        <f>SUMIFS(logs!$Q:$Q,logs!$D:$D,risk!$A27,logs!$H:$H,risk!B$21)</f>
        <v>0</v>
      </c>
      <c r="C27" s="69">
        <f>SUMIFS(logs!$Q:$Q,logs!$D:$D,risk!$A27,logs!$H:$H,risk!C$21)</f>
        <v>0</v>
      </c>
      <c r="D27" s="69">
        <f>SUMIFS(logs!$Q:$Q,logs!$D:$D,risk!$A27,logs!$H:$H,risk!D$21)</f>
        <v>0</v>
      </c>
      <c r="E27" s="69">
        <f>SUMIFS(logs!$Q:$Q,logs!$D:$D,risk!$A27,logs!$H:$H,risk!E$21)</f>
        <v>0</v>
      </c>
      <c r="F27" s="69">
        <f>SUMIFS(logs!$Q:$Q,logs!$D:$D,risk!$A27,logs!$H:$H,risk!F$21)</f>
        <v>0</v>
      </c>
      <c r="G27" s="69">
        <f>SUMIFS(logs!$Q:$Q,logs!$D:$D,risk!$A27,logs!$H:$H,risk!G$21)</f>
        <v>0</v>
      </c>
      <c r="H27" s="70">
        <f t="shared" si="5"/>
        <v>0</v>
      </c>
      <c r="J27" s="122" t="s">
        <v>306</v>
      </c>
      <c r="K27" s="123">
        <f>SUMIFS(logs!$Q:$Q,logs!$G:$G,"HV")</f>
        <v>17601899.826522328</v>
      </c>
      <c r="L27" s="123">
        <f>SUMIFS(logs!$P:$P,logs!$G:$G,"HV")</f>
        <v>4556259.723444582</v>
      </c>
      <c r="M27" s="124">
        <f>SUMIFS(logs!$V:$V,logs!$G:$G,"HV")</f>
        <v>291896.35755454103</v>
      </c>
      <c r="N27" s="166"/>
      <c r="O27" s="167"/>
      <c r="P27" s="168"/>
    </row>
    <row r="28" spans="1:16" x14ac:dyDescent="0.35">
      <c r="A28" s="65" t="s">
        <v>38</v>
      </c>
      <c r="B28" s="69">
        <f>SUMIFS(logs!$Q:$Q,logs!$D:$D,risk!$A28,logs!$H:$H,risk!B$21)</f>
        <v>4995407.0110804858</v>
      </c>
      <c r="C28" s="69">
        <f>SUMIFS(logs!$Q:$Q,logs!$D:$D,risk!$A28,logs!$H:$H,risk!C$21)</f>
        <v>0</v>
      </c>
      <c r="D28" s="69">
        <f>SUMIFS(logs!$Q:$Q,logs!$D:$D,risk!$A28,logs!$H:$H,risk!D$21)</f>
        <v>0</v>
      </c>
      <c r="E28" s="69">
        <f>SUMIFS(logs!$Q:$Q,logs!$D:$D,risk!$A28,logs!$H:$H,risk!E$21)</f>
        <v>0</v>
      </c>
      <c r="F28" s="69">
        <f>SUMIFS(logs!$Q:$Q,logs!$D:$D,risk!$A28,logs!$H:$H,risk!F$21)</f>
        <v>0</v>
      </c>
      <c r="G28" s="69">
        <f>SUMIFS(logs!$Q:$Q,logs!$D:$D,risk!$A28,logs!$H:$H,risk!G$21)</f>
        <v>0</v>
      </c>
      <c r="H28" s="70">
        <f t="shared" si="5"/>
        <v>4995407.0110804858</v>
      </c>
      <c r="J28" s="89" t="s">
        <v>307</v>
      </c>
      <c r="K28" s="90">
        <f>SUMIFS(logs!$Q:$Q,logs!$G:$G,"LV")</f>
        <v>45667152.112315655</v>
      </c>
      <c r="L28" s="90">
        <f>SUMIFS(logs!$P:$P,logs!$G:$G,"LV")</f>
        <v>-25249.382992712781</v>
      </c>
      <c r="M28" s="91">
        <f>SUMIFS(logs!$V:$V,logs!$G:$G,"LV")</f>
        <v>-105269.16774607592</v>
      </c>
      <c r="N28" s="163"/>
      <c r="O28" s="164"/>
      <c r="P28" s="165"/>
    </row>
    <row r="29" spans="1:16" x14ac:dyDescent="0.35">
      <c r="A29" s="65" t="s">
        <v>41</v>
      </c>
      <c r="B29" s="69">
        <f>SUMIFS(logs!$Q:$Q,logs!$D:$D,risk!$A29,logs!$H:$H,risk!B$21)</f>
        <v>0</v>
      </c>
      <c r="C29" s="69">
        <f>SUMIFS(logs!$Q:$Q,logs!$D:$D,risk!$A29,logs!$H:$H,risk!C$21)</f>
        <v>0</v>
      </c>
      <c r="D29" s="69">
        <f>SUMIFS(logs!$Q:$Q,logs!$D:$D,risk!$A29,logs!$H:$H,risk!D$21)</f>
        <v>0</v>
      </c>
      <c r="E29" s="69">
        <f>SUMIFS(logs!$Q:$Q,logs!$D:$D,risk!$A29,logs!$H:$H,risk!E$21)</f>
        <v>1458576.0000000002</v>
      </c>
      <c r="F29" s="69">
        <f>SUMIFS(logs!$Q:$Q,logs!$D:$D,risk!$A29,logs!$H:$H,risk!F$21)</f>
        <v>0</v>
      </c>
      <c r="G29" s="69">
        <f>SUMIFS(logs!$Q:$Q,logs!$D:$D,risk!$A29,logs!$H:$H,risk!G$21)</f>
        <v>0</v>
      </c>
      <c r="H29" s="70">
        <f t="shared" si="5"/>
        <v>1458576.0000000002</v>
      </c>
    </row>
    <row r="30" spans="1:16" x14ac:dyDescent="0.35">
      <c r="A30" s="65" t="s">
        <v>46</v>
      </c>
      <c r="B30" s="69">
        <f>SUMIFS(logs!$Q:$Q,logs!$D:$D,risk!$A30,logs!$H:$H,risk!B$21)</f>
        <v>950000</v>
      </c>
      <c r="C30" s="69">
        <f>SUMIFS(logs!$Q:$Q,logs!$D:$D,risk!$A30,logs!$H:$H,risk!C$21)</f>
        <v>1720500.0000000002</v>
      </c>
      <c r="D30" s="69">
        <f>SUMIFS(logs!$Q:$Q,logs!$D:$D,risk!$A30,logs!$H:$H,risk!D$21)</f>
        <v>0</v>
      </c>
      <c r="E30" s="69">
        <f>SUMIFS(logs!$Q:$Q,logs!$D:$D,risk!$A30,logs!$H:$H,risk!E$21)</f>
        <v>0</v>
      </c>
      <c r="F30" s="69">
        <f>SUMIFS(logs!$Q:$Q,logs!$D:$D,risk!$A30,logs!$H:$H,risk!F$21)</f>
        <v>0</v>
      </c>
      <c r="G30" s="69">
        <f>SUMIFS(logs!$Q:$Q,logs!$D:$D,risk!$A30,logs!$H:$H,risk!G$21)</f>
        <v>0</v>
      </c>
      <c r="H30" s="70">
        <f t="shared" si="5"/>
        <v>2670500</v>
      </c>
    </row>
    <row r="31" spans="1:16" x14ac:dyDescent="0.35">
      <c r="A31" s="65" t="s">
        <v>6</v>
      </c>
      <c r="B31" s="69">
        <f>SUMIFS(logs!$Q:$Q,logs!$D:$D,risk!$A31,logs!$H:$H,risk!B$21)</f>
        <v>4574780</v>
      </c>
      <c r="C31" s="69">
        <f>SUMIFS(logs!$Q:$Q,logs!$D:$D,risk!$A31,logs!$H:$H,risk!C$21)</f>
        <v>431250</v>
      </c>
      <c r="D31" s="69">
        <f>SUMIFS(logs!$Q:$Q,logs!$D:$D,risk!$A31,logs!$H:$H,risk!D$21)</f>
        <v>4169500</v>
      </c>
      <c r="E31" s="69">
        <f>SUMIFS(logs!$Q:$Q,logs!$D:$D,risk!$A31,logs!$H:$H,risk!E$21)</f>
        <v>0</v>
      </c>
      <c r="F31" s="69">
        <f>SUMIFS(logs!$Q:$Q,logs!$D:$D,risk!$A31,logs!$H:$H,risk!F$21)</f>
        <v>4650000</v>
      </c>
      <c r="G31" s="69">
        <f>SUMIFS(logs!$Q:$Q,logs!$D:$D,risk!$A31,logs!$H:$H,risk!G$21)</f>
        <v>0</v>
      </c>
      <c r="H31" s="70">
        <f t="shared" si="5"/>
        <v>13825530</v>
      </c>
    </row>
    <row r="32" spans="1:16" x14ac:dyDescent="0.35">
      <c r="A32" s="65" t="s">
        <v>51</v>
      </c>
      <c r="B32" s="69">
        <f>SUMIFS(logs!$Q:$Q,logs!$D:$D,risk!$A32,logs!$H:$H,risk!B$21)</f>
        <v>1407480</v>
      </c>
      <c r="C32" s="69">
        <f>SUMIFS(logs!$Q:$Q,logs!$D:$D,risk!$A32,logs!$H:$H,risk!C$21)</f>
        <v>0</v>
      </c>
      <c r="D32" s="69">
        <f>SUMIFS(logs!$Q:$Q,logs!$D:$D,risk!$A32,logs!$H:$H,risk!D$21)</f>
        <v>0</v>
      </c>
      <c r="E32" s="69">
        <f>SUMIFS(logs!$Q:$Q,logs!$D:$D,risk!$A32,logs!$H:$H,risk!E$21)</f>
        <v>0</v>
      </c>
      <c r="F32" s="69">
        <f>SUMIFS(logs!$Q:$Q,logs!$D:$D,risk!$A32,logs!$H:$H,risk!F$21)</f>
        <v>0</v>
      </c>
      <c r="G32" s="69">
        <f>SUMIFS(logs!$Q:$Q,logs!$D:$D,risk!$A32,logs!$H:$H,risk!G$21)</f>
        <v>0</v>
      </c>
      <c r="H32" s="70">
        <f t="shared" si="5"/>
        <v>1407480</v>
      </c>
    </row>
    <row r="33" spans="1:8" x14ac:dyDescent="0.35">
      <c r="A33" s="65" t="s">
        <v>54</v>
      </c>
      <c r="B33" s="69">
        <f>SUMIFS(logs!$Q:$Q,logs!$D:$D,risk!$A33,logs!$H:$H,risk!B$21)</f>
        <v>0</v>
      </c>
      <c r="C33" s="69">
        <f>SUMIFS(logs!$Q:$Q,logs!$D:$D,risk!$A33,logs!$H:$H,risk!C$21)</f>
        <v>0</v>
      </c>
      <c r="D33" s="69">
        <f>SUMIFS(logs!$Q:$Q,logs!$D:$D,risk!$A33,logs!$H:$H,risk!D$21)</f>
        <v>0</v>
      </c>
      <c r="E33" s="69">
        <f>SUMIFS(logs!$Q:$Q,logs!$D:$D,risk!$A33,logs!$H:$H,risk!E$21)</f>
        <v>0</v>
      </c>
      <c r="F33" s="69">
        <f>SUMIFS(logs!$Q:$Q,logs!$D:$D,risk!$A33,logs!$H:$H,risk!F$21)</f>
        <v>0</v>
      </c>
      <c r="G33" s="69">
        <f>SUMIFS(logs!$Q:$Q,logs!$D:$D,risk!$A33,logs!$H:$H,risk!G$21)</f>
        <v>0</v>
      </c>
      <c r="H33" s="70">
        <f t="shared" si="5"/>
        <v>0</v>
      </c>
    </row>
    <row r="34" spans="1:8" x14ac:dyDescent="0.35">
      <c r="A34" s="65" t="s">
        <v>57</v>
      </c>
      <c r="B34" s="69">
        <f>SUMIFS(logs!$Q:$Q,logs!$D:$D,risk!$A34,logs!$H:$H,risk!B$21)</f>
        <v>0</v>
      </c>
      <c r="C34" s="69">
        <f>SUMIFS(logs!$Q:$Q,logs!$D:$D,risk!$A34,logs!$H:$H,risk!C$21)</f>
        <v>0</v>
      </c>
      <c r="D34" s="69">
        <f>SUMIFS(logs!$Q:$Q,logs!$D:$D,risk!$A34,logs!$H:$H,risk!D$21)</f>
        <v>0</v>
      </c>
      <c r="E34" s="69">
        <f>SUMIFS(logs!$Q:$Q,logs!$D:$D,risk!$A34,logs!$H:$H,risk!E$21)</f>
        <v>0</v>
      </c>
      <c r="F34" s="69">
        <f>SUMIFS(logs!$Q:$Q,logs!$D:$D,risk!$A34,logs!$H:$H,risk!F$21)</f>
        <v>0</v>
      </c>
      <c r="G34" s="69">
        <f>SUMIFS(logs!$Q:$Q,logs!$D:$D,risk!$A34,logs!$H:$H,risk!G$21)</f>
        <v>0</v>
      </c>
      <c r="H34" s="70">
        <f t="shared" si="5"/>
        <v>0</v>
      </c>
    </row>
    <row r="35" spans="1:8" x14ac:dyDescent="0.35">
      <c r="A35" s="65" t="s">
        <v>61</v>
      </c>
      <c r="B35" s="69">
        <f>SUMIFS(logs!$Q:$Q,logs!$D:$D,risk!$A35,logs!$H:$H,risk!B$21)</f>
        <v>0</v>
      </c>
      <c r="C35" s="69">
        <f>SUMIFS(logs!$Q:$Q,logs!$D:$D,risk!$A35,logs!$H:$H,risk!C$21)</f>
        <v>0</v>
      </c>
      <c r="D35" s="69">
        <f>SUMIFS(logs!$Q:$Q,logs!$D:$D,risk!$A35,logs!$H:$H,risk!D$21)</f>
        <v>0</v>
      </c>
      <c r="E35" s="69">
        <f>SUMIFS(logs!$Q:$Q,logs!$D:$D,risk!$A35,logs!$H:$H,risk!E$21)</f>
        <v>0</v>
      </c>
      <c r="F35" s="69">
        <f>SUMIFS(logs!$Q:$Q,logs!$D:$D,risk!$A35,logs!$H:$H,risk!F$21)</f>
        <v>0</v>
      </c>
      <c r="G35" s="69">
        <f>SUMIFS(logs!$Q:$Q,logs!$D:$D,risk!$A35,logs!$H:$H,risk!G$21)</f>
        <v>0</v>
      </c>
      <c r="H35" s="70">
        <f t="shared" si="5"/>
        <v>0</v>
      </c>
    </row>
    <row r="36" spans="1:8" x14ac:dyDescent="0.35">
      <c r="A36" s="65" t="s">
        <v>62</v>
      </c>
      <c r="B36" s="69">
        <f>SUMIFS(logs!$Q:$Q,logs!$D:$D,risk!$A36,logs!$H:$H,risk!B$21)</f>
        <v>0</v>
      </c>
      <c r="C36" s="69">
        <f>SUMIFS(logs!$Q:$Q,logs!$D:$D,risk!$A36,logs!$H:$H,risk!C$21)</f>
        <v>0</v>
      </c>
      <c r="D36" s="69">
        <f>SUMIFS(logs!$Q:$Q,logs!$D:$D,risk!$A36,logs!$H:$H,risk!D$21)</f>
        <v>0</v>
      </c>
      <c r="E36" s="69">
        <f>SUMIFS(logs!$Q:$Q,logs!$D:$D,risk!$A36,logs!$H:$H,risk!E$21)</f>
        <v>0</v>
      </c>
      <c r="F36" s="69">
        <f>SUMIFS(logs!$Q:$Q,logs!$D:$D,risk!$A36,logs!$H:$H,risk!F$21)</f>
        <v>0</v>
      </c>
      <c r="G36" s="69">
        <f>SUMIFS(logs!$Q:$Q,logs!$D:$D,risk!$A36,logs!$H:$H,risk!G$21)</f>
        <v>0</v>
      </c>
      <c r="H36" s="70">
        <f t="shared" si="5"/>
        <v>0</v>
      </c>
    </row>
    <row r="37" spans="1:8" x14ac:dyDescent="0.35">
      <c r="A37" s="65" t="s">
        <v>67</v>
      </c>
      <c r="B37" s="69">
        <f>SUMIFS(logs!$Q:$Q,logs!$D:$D,risk!$A37,logs!$H:$H,risk!B$21)</f>
        <v>0</v>
      </c>
      <c r="C37" s="69">
        <f>SUMIFS(logs!$Q:$Q,logs!$D:$D,risk!$A37,logs!$H:$H,risk!C$21)</f>
        <v>0</v>
      </c>
      <c r="D37" s="69">
        <f>SUMIFS(logs!$Q:$Q,logs!$D:$D,risk!$A37,logs!$H:$H,risk!D$21)</f>
        <v>0</v>
      </c>
      <c r="E37" s="69">
        <f>SUMIFS(logs!$Q:$Q,logs!$D:$D,risk!$A37,logs!$H:$H,risk!E$21)</f>
        <v>0</v>
      </c>
      <c r="F37" s="69">
        <f>SUMIFS(logs!$Q:$Q,logs!$D:$D,risk!$A37,logs!$H:$H,risk!F$21)</f>
        <v>0</v>
      </c>
      <c r="G37" s="69">
        <f>SUMIFS(logs!$Q:$Q,logs!$D:$D,risk!$A37,logs!$H:$H,risk!G$21)</f>
        <v>0</v>
      </c>
      <c r="H37" s="70">
        <f t="shared" si="5"/>
        <v>0</v>
      </c>
    </row>
    <row r="38" spans="1:8" x14ac:dyDescent="0.35">
      <c r="A38" s="65" t="s">
        <v>71</v>
      </c>
      <c r="B38" s="69">
        <f>SUMIFS(logs!$Q:$Q,logs!$D:$D,risk!$A38,logs!$H:$H,risk!B$21)</f>
        <v>0</v>
      </c>
      <c r="C38" s="69">
        <f>SUMIFS(logs!$Q:$Q,logs!$D:$D,risk!$A38,logs!$H:$H,risk!C$21)</f>
        <v>0</v>
      </c>
      <c r="D38" s="69">
        <f>SUMIFS(logs!$Q:$Q,logs!$D:$D,risk!$A38,logs!$H:$H,risk!D$21)</f>
        <v>0</v>
      </c>
      <c r="E38" s="69">
        <f>SUMIFS(logs!$Q:$Q,logs!$D:$D,risk!$A38,logs!$H:$H,risk!E$21)</f>
        <v>0</v>
      </c>
      <c r="F38" s="69">
        <f>SUMIFS(logs!$Q:$Q,logs!$D:$D,risk!$A38,logs!$H:$H,risk!F$21)</f>
        <v>0</v>
      </c>
      <c r="G38" s="69">
        <f>SUMIFS(logs!$Q:$Q,logs!$D:$D,risk!$A38,logs!$H:$H,risk!G$21)</f>
        <v>0</v>
      </c>
      <c r="H38" s="70">
        <f t="shared" si="5"/>
        <v>0</v>
      </c>
    </row>
    <row r="39" spans="1:8" x14ac:dyDescent="0.35">
      <c r="A39" s="66" t="s">
        <v>204</v>
      </c>
      <c r="B39" s="71">
        <f t="shared" ref="B39:H39" si="6">SUM(B22:B38)</f>
        <v>21676465.938837983</v>
      </c>
      <c r="C39" s="71">
        <f t="shared" si="6"/>
        <v>7001750</v>
      </c>
      <c r="D39" s="71">
        <f t="shared" si="6"/>
        <v>8350500</v>
      </c>
      <c r="E39" s="71">
        <f t="shared" si="6"/>
        <v>2660336</v>
      </c>
      <c r="F39" s="71">
        <f t="shared" si="6"/>
        <v>23580000</v>
      </c>
      <c r="G39" s="71">
        <f t="shared" si="6"/>
        <v>0</v>
      </c>
      <c r="H39" s="72">
        <f t="shared" si="6"/>
        <v>63269051.93883799</v>
      </c>
    </row>
    <row r="41" spans="1:8" x14ac:dyDescent="0.35">
      <c r="A41" s="66"/>
      <c r="B41" s="67" t="s">
        <v>253</v>
      </c>
      <c r="C41" s="67" t="s">
        <v>254</v>
      </c>
      <c r="D41" s="67" t="s">
        <v>255</v>
      </c>
      <c r="E41" s="67" t="s">
        <v>256</v>
      </c>
      <c r="F41" s="67" t="s">
        <v>257</v>
      </c>
      <c r="G41" s="67" t="s">
        <v>260</v>
      </c>
      <c r="H41" s="66" t="s">
        <v>204</v>
      </c>
    </row>
    <row r="42" spans="1:8" x14ac:dyDescent="0.35">
      <c r="A42" s="65" t="s">
        <v>21</v>
      </c>
      <c r="B42" s="69">
        <f>SUMIFS(logs!$Q:$Q,logs!$D:$D,risk!$A42,logs!$I:$I,risk!B$41)</f>
        <v>0</v>
      </c>
      <c r="C42" s="69">
        <f>SUMIFS(logs!$Q:$Q,logs!$D:$D,risk!$A42,logs!$I:$I,risk!C$41)</f>
        <v>0</v>
      </c>
      <c r="D42" s="69">
        <f>SUMIFS(logs!$Q:$Q,logs!$D:$D,risk!$A42,logs!$I:$I,risk!D$41)</f>
        <v>1320000</v>
      </c>
      <c r="E42" s="69">
        <f>SUMIFS(logs!$Q:$Q,logs!$D:$D,risk!$A42,logs!$I:$I,risk!E$41)</f>
        <v>0</v>
      </c>
      <c r="F42" s="69">
        <f>SUMIFS(logs!$Q:$Q,logs!$D:$D,risk!$A42,logs!$I:$I,risk!F$41)</f>
        <v>0</v>
      </c>
      <c r="G42" s="69">
        <f>SUMIFS(logs!$Q:$Q,logs!$D:$D,risk!$A42,logs!$I:$I,risk!G$41)</f>
        <v>0</v>
      </c>
      <c r="H42" s="70">
        <f>SUM(B42:G42)</f>
        <v>1320000</v>
      </c>
    </row>
    <row r="43" spans="1:8" x14ac:dyDescent="0.35">
      <c r="A43" s="65" t="s">
        <v>24</v>
      </c>
      <c r="B43" s="69">
        <f>SUMIFS(logs!$Q:$Q,logs!$D:$D,risk!$A43,logs!$I:$I,risk!B$41)</f>
        <v>0</v>
      </c>
      <c r="C43" s="69">
        <f>SUMIFS(logs!$Q:$Q,logs!$D:$D,risk!$A43,logs!$I:$I,risk!C$41)</f>
        <v>2590000</v>
      </c>
      <c r="D43" s="69">
        <f>SUMIFS(logs!$Q:$Q,logs!$D:$D,risk!$A43,logs!$I:$I,risk!D$41)</f>
        <v>0</v>
      </c>
      <c r="E43" s="69">
        <f>SUMIFS(logs!$Q:$Q,logs!$D:$D,risk!$A43,logs!$I:$I,risk!E$41)</f>
        <v>0</v>
      </c>
      <c r="F43" s="69">
        <f>SUMIFS(logs!$Q:$Q,logs!$D:$D,risk!$A43,logs!$I:$I,risk!F$41)</f>
        <v>0</v>
      </c>
      <c r="G43" s="69">
        <f>SUMIFS(logs!$Q:$Q,logs!$D:$D,risk!$A43,logs!$I:$I,risk!G$41)</f>
        <v>0</v>
      </c>
      <c r="H43" s="70">
        <f t="shared" ref="H43:H58" si="7">SUM(B43:G43)</f>
        <v>2590000</v>
      </c>
    </row>
    <row r="44" spans="1:8" x14ac:dyDescent="0.35">
      <c r="A44" s="65" t="s">
        <v>26</v>
      </c>
      <c r="B44" s="69">
        <f>SUMIFS(logs!$Q:$Q,logs!$D:$D,risk!$A44,logs!$I:$I,risk!B$41)</f>
        <v>0</v>
      </c>
      <c r="C44" s="69">
        <f>SUMIFS(logs!$Q:$Q,logs!$D:$D,risk!$A44,logs!$I:$I,risk!C$41)</f>
        <v>1002820.0515388729</v>
      </c>
      <c r="D44" s="69">
        <f>SUMIFS(logs!$Q:$Q,logs!$D:$D,risk!$A44,logs!$I:$I,risk!D$41)</f>
        <v>2952486.2601789776</v>
      </c>
      <c r="E44" s="69">
        <f>SUMIFS(logs!$Q:$Q,logs!$D:$D,risk!$A44,logs!$I:$I,risk!E$41)</f>
        <v>780939.77498345473</v>
      </c>
      <c r="F44" s="69">
        <f>SUMIFS(logs!$Q:$Q,logs!$D:$D,risk!$A44,logs!$I:$I,risk!F$41)</f>
        <v>3359847.0716197165</v>
      </c>
      <c r="G44" s="69">
        <f>SUMIFS(logs!$Q:$Q,logs!$D:$D,risk!$A44,logs!$I:$I,risk!G$41)</f>
        <v>0</v>
      </c>
      <c r="H44" s="70">
        <f t="shared" si="7"/>
        <v>8096093.1583210221</v>
      </c>
    </row>
    <row r="45" spans="1:8" x14ac:dyDescent="0.35">
      <c r="A45" s="65" t="s">
        <v>29</v>
      </c>
      <c r="B45" s="69">
        <f>SUMIFS(logs!$Q:$Q,logs!$D:$D,risk!$A45,logs!$I:$I,risk!B$41)</f>
        <v>0</v>
      </c>
      <c r="C45" s="69">
        <f>SUMIFS(logs!$Q:$Q,logs!$D:$D,risk!$A45,logs!$I:$I,risk!C$41)</f>
        <v>17808500</v>
      </c>
      <c r="D45" s="69">
        <f>SUMIFS(logs!$Q:$Q,logs!$D:$D,risk!$A45,logs!$I:$I,risk!D$41)</f>
        <v>1200000</v>
      </c>
      <c r="E45" s="69">
        <f>SUMIFS(logs!$Q:$Q,logs!$D:$D,risk!$A45,logs!$I:$I,risk!E$41)</f>
        <v>0</v>
      </c>
      <c r="F45" s="69">
        <f>SUMIFS(logs!$Q:$Q,logs!$D:$D,risk!$A45,logs!$I:$I,risk!F$41)</f>
        <v>1512500</v>
      </c>
      <c r="G45" s="69">
        <f>SUMIFS(logs!$Q:$Q,logs!$D:$D,risk!$A45,logs!$I:$I,risk!G$41)</f>
        <v>0</v>
      </c>
      <c r="H45" s="70">
        <f t="shared" si="7"/>
        <v>20521000</v>
      </c>
    </row>
    <row r="46" spans="1:8" x14ac:dyDescent="0.35">
      <c r="A46" s="65" t="s">
        <v>4</v>
      </c>
      <c r="B46" s="69">
        <f>SUMIFS(logs!$Q:$Q,logs!$D:$D,risk!$A46,logs!$I:$I,risk!B$41)</f>
        <v>4189465.7694364758</v>
      </c>
      <c r="C46" s="69">
        <f>SUMIFS(logs!$Q:$Q,logs!$D:$D,risk!$A46,logs!$I:$I,risk!C$41)</f>
        <v>0</v>
      </c>
      <c r="D46" s="69">
        <f>SUMIFS(logs!$Q:$Q,logs!$D:$D,risk!$A46,logs!$I:$I,risk!D$41)</f>
        <v>2195000</v>
      </c>
      <c r="E46" s="69">
        <f>SUMIFS(logs!$Q:$Q,logs!$D:$D,risk!$A46,logs!$I:$I,risk!E$41)</f>
        <v>0</v>
      </c>
      <c r="F46" s="69">
        <f>SUMIFS(logs!$Q:$Q,logs!$D:$D,risk!$A46,logs!$I:$I,risk!F$41)</f>
        <v>0</v>
      </c>
      <c r="G46" s="69">
        <f>SUMIFS(logs!$Q:$Q,logs!$D:$D,risk!$A46,logs!$I:$I,risk!G$41)</f>
        <v>0</v>
      </c>
      <c r="H46" s="70">
        <f t="shared" si="7"/>
        <v>6384465.7694364758</v>
      </c>
    </row>
    <row r="47" spans="1:8" x14ac:dyDescent="0.35">
      <c r="A47" s="65" t="s">
        <v>35</v>
      </c>
      <c r="B47" s="69">
        <f>SUMIFS(logs!$Q:$Q,logs!$D:$D,risk!$A47,logs!$I:$I,risk!B$41)</f>
        <v>0</v>
      </c>
      <c r="C47" s="69">
        <f>SUMIFS(logs!$Q:$Q,logs!$D:$D,risk!$A47,logs!$I:$I,risk!C$41)</f>
        <v>0</v>
      </c>
      <c r="D47" s="69">
        <f>SUMIFS(logs!$Q:$Q,logs!$D:$D,risk!$A47,logs!$I:$I,risk!D$41)</f>
        <v>0</v>
      </c>
      <c r="E47" s="69">
        <f>SUMIFS(logs!$Q:$Q,logs!$D:$D,risk!$A47,logs!$I:$I,risk!E$41)</f>
        <v>0</v>
      </c>
      <c r="F47" s="69">
        <f>SUMIFS(logs!$Q:$Q,logs!$D:$D,risk!$A47,logs!$I:$I,risk!F$41)</f>
        <v>0</v>
      </c>
      <c r="G47" s="69">
        <f>SUMIFS(logs!$Q:$Q,logs!$D:$D,risk!$A47,logs!$I:$I,risk!G$41)</f>
        <v>0</v>
      </c>
      <c r="H47" s="70">
        <f t="shared" si="7"/>
        <v>0</v>
      </c>
    </row>
    <row r="48" spans="1:8" x14ac:dyDescent="0.35">
      <c r="A48" s="65" t="s">
        <v>38</v>
      </c>
      <c r="B48" s="69">
        <f>SUMIFS(logs!$Q:$Q,logs!$D:$D,risk!$A48,logs!$I:$I,risk!B$41)</f>
        <v>1361404.1911800455</v>
      </c>
      <c r="C48" s="69">
        <f>SUMIFS(logs!$Q:$Q,logs!$D:$D,risk!$A48,logs!$I:$I,risk!C$41)</f>
        <v>0</v>
      </c>
      <c r="D48" s="69">
        <f>SUMIFS(logs!$Q:$Q,logs!$D:$D,risk!$A48,logs!$I:$I,risk!D$41)</f>
        <v>1583820.1018617097</v>
      </c>
      <c r="E48" s="69">
        <f>SUMIFS(logs!$Q:$Q,logs!$D:$D,risk!$A48,logs!$I:$I,risk!E$41)</f>
        <v>0</v>
      </c>
      <c r="F48" s="69">
        <f>SUMIFS(logs!$Q:$Q,logs!$D:$D,risk!$A48,logs!$I:$I,risk!F$41)</f>
        <v>2050182.7180387306</v>
      </c>
      <c r="G48" s="69">
        <f>SUMIFS(logs!$Q:$Q,logs!$D:$D,risk!$A48,logs!$I:$I,risk!G$41)</f>
        <v>0</v>
      </c>
      <c r="H48" s="70">
        <f t="shared" si="7"/>
        <v>4995407.0110804858</v>
      </c>
    </row>
    <row r="49" spans="1:8" x14ac:dyDescent="0.35">
      <c r="A49" s="65" t="s">
        <v>41</v>
      </c>
      <c r="B49" s="69">
        <f>SUMIFS(logs!$Q:$Q,logs!$D:$D,risk!$A49,logs!$I:$I,risk!B$41)</f>
        <v>240240</v>
      </c>
      <c r="C49" s="69">
        <f>SUMIFS(logs!$Q:$Q,logs!$D:$D,risk!$A49,logs!$I:$I,risk!C$41)</f>
        <v>0</v>
      </c>
      <c r="D49" s="69">
        <f>SUMIFS(logs!$Q:$Q,logs!$D:$D,risk!$A49,logs!$I:$I,risk!D$41)</f>
        <v>0</v>
      </c>
      <c r="E49" s="69">
        <f>SUMIFS(logs!$Q:$Q,logs!$D:$D,risk!$A49,logs!$I:$I,risk!E$41)</f>
        <v>0</v>
      </c>
      <c r="F49" s="69">
        <f>SUMIFS(logs!$Q:$Q,logs!$D:$D,risk!$A49,logs!$I:$I,risk!F$41)</f>
        <v>1218336.0000000002</v>
      </c>
      <c r="G49" s="69">
        <f>SUMIFS(logs!$Q:$Q,logs!$D:$D,risk!$A49,logs!$I:$I,risk!G$41)</f>
        <v>0</v>
      </c>
      <c r="H49" s="70">
        <f t="shared" si="7"/>
        <v>1458576.0000000002</v>
      </c>
    </row>
    <row r="50" spans="1:8" x14ac:dyDescent="0.35">
      <c r="A50" s="65" t="s">
        <v>46</v>
      </c>
      <c r="B50" s="69">
        <f>SUMIFS(logs!$Q:$Q,logs!$D:$D,risk!$A50,logs!$I:$I,risk!B$41)</f>
        <v>950000</v>
      </c>
      <c r="C50" s="69">
        <f>SUMIFS(logs!$Q:$Q,logs!$D:$D,risk!$A50,logs!$I:$I,risk!C$41)</f>
        <v>0</v>
      </c>
      <c r="D50" s="69">
        <f>SUMIFS(logs!$Q:$Q,logs!$D:$D,risk!$A50,logs!$I:$I,risk!D$41)</f>
        <v>1720500.0000000002</v>
      </c>
      <c r="E50" s="69">
        <f>SUMIFS(logs!$Q:$Q,logs!$D:$D,risk!$A50,logs!$I:$I,risk!E$41)</f>
        <v>0</v>
      </c>
      <c r="F50" s="69">
        <f>SUMIFS(logs!$Q:$Q,logs!$D:$D,risk!$A50,logs!$I:$I,risk!F$41)</f>
        <v>0</v>
      </c>
      <c r="G50" s="69">
        <f>SUMIFS(logs!$Q:$Q,logs!$D:$D,risk!$A50,logs!$I:$I,risk!G$41)</f>
        <v>0</v>
      </c>
      <c r="H50" s="70">
        <f t="shared" si="7"/>
        <v>2670500</v>
      </c>
    </row>
    <row r="51" spans="1:8" x14ac:dyDescent="0.35">
      <c r="A51" s="65" t="s">
        <v>6</v>
      </c>
      <c r="B51" s="69">
        <f>SUMIFS(logs!$Q:$Q,logs!$D:$D,risk!$A51,logs!$I:$I,risk!B$41)</f>
        <v>4574780</v>
      </c>
      <c r="C51" s="69">
        <f>SUMIFS(logs!$Q:$Q,logs!$D:$D,risk!$A51,logs!$I:$I,risk!C$41)</f>
        <v>6147000</v>
      </c>
      <c r="D51" s="69">
        <f>SUMIFS(logs!$Q:$Q,logs!$D:$D,risk!$A51,logs!$I:$I,risk!D$41)</f>
        <v>1611250</v>
      </c>
      <c r="E51" s="69">
        <f>SUMIFS(logs!$Q:$Q,logs!$D:$D,risk!$A51,logs!$I:$I,risk!E$41)</f>
        <v>0</v>
      </c>
      <c r="F51" s="69">
        <f>SUMIFS(logs!$Q:$Q,logs!$D:$D,risk!$A51,logs!$I:$I,risk!F$41)</f>
        <v>1492499.9999999998</v>
      </c>
      <c r="G51" s="69">
        <f>SUMIFS(logs!$Q:$Q,logs!$D:$D,risk!$A51,logs!$I:$I,risk!G$41)</f>
        <v>0</v>
      </c>
      <c r="H51" s="70">
        <f t="shared" si="7"/>
        <v>13825530</v>
      </c>
    </row>
    <row r="52" spans="1:8" x14ac:dyDescent="0.35">
      <c r="A52" s="65" t="s">
        <v>51</v>
      </c>
      <c r="B52" s="69">
        <f>SUMIFS(logs!$Q:$Q,logs!$D:$D,risk!$A52,logs!$I:$I,risk!B$41)</f>
        <v>1407480</v>
      </c>
      <c r="C52" s="69">
        <f>SUMIFS(logs!$Q:$Q,logs!$D:$D,risk!$A52,logs!$I:$I,risk!C$41)</f>
        <v>0</v>
      </c>
      <c r="D52" s="69">
        <f>SUMIFS(logs!$Q:$Q,logs!$D:$D,risk!$A52,logs!$I:$I,risk!D$41)</f>
        <v>0</v>
      </c>
      <c r="E52" s="69">
        <f>SUMIFS(logs!$Q:$Q,logs!$D:$D,risk!$A52,logs!$I:$I,risk!E$41)</f>
        <v>0</v>
      </c>
      <c r="F52" s="69">
        <f>SUMIFS(logs!$Q:$Q,logs!$D:$D,risk!$A52,logs!$I:$I,risk!F$41)</f>
        <v>0</v>
      </c>
      <c r="G52" s="69">
        <f>SUMIFS(logs!$Q:$Q,logs!$D:$D,risk!$A52,logs!$I:$I,risk!G$41)</f>
        <v>0</v>
      </c>
      <c r="H52" s="70">
        <f t="shared" si="7"/>
        <v>1407480</v>
      </c>
    </row>
    <row r="53" spans="1:8" x14ac:dyDescent="0.35">
      <c r="A53" s="65" t="s">
        <v>54</v>
      </c>
      <c r="B53" s="69">
        <f>SUMIFS(logs!$Q:$Q,logs!$D:$D,risk!$A53,logs!$I:$I,risk!B$41)</f>
        <v>0</v>
      </c>
      <c r="C53" s="69">
        <f>SUMIFS(logs!$Q:$Q,logs!$D:$D,risk!$A53,logs!$I:$I,risk!C$41)</f>
        <v>0</v>
      </c>
      <c r="D53" s="69">
        <f>SUMIFS(logs!$Q:$Q,logs!$D:$D,risk!$A53,logs!$I:$I,risk!D$41)</f>
        <v>0</v>
      </c>
      <c r="E53" s="69">
        <f>SUMIFS(logs!$Q:$Q,logs!$D:$D,risk!$A53,logs!$I:$I,risk!E$41)</f>
        <v>0</v>
      </c>
      <c r="F53" s="69">
        <f>SUMIFS(logs!$Q:$Q,logs!$D:$D,risk!$A53,logs!$I:$I,risk!F$41)</f>
        <v>0</v>
      </c>
      <c r="G53" s="69">
        <f>SUMIFS(logs!$Q:$Q,logs!$D:$D,risk!$A53,logs!$I:$I,risk!G$41)</f>
        <v>0</v>
      </c>
      <c r="H53" s="70">
        <f t="shared" si="7"/>
        <v>0</v>
      </c>
    </row>
    <row r="54" spans="1:8" x14ac:dyDescent="0.35">
      <c r="A54" s="65" t="s">
        <v>57</v>
      </c>
      <c r="B54" s="69">
        <f>SUMIFS(logs!$Q:$Q,logs!$D:$D,risk!$A54,logs!$I:$I,risk!B$41)</f>
        <v>0</v>
      </c>
      <c r="C54" s="69">
        <f>SUMIFS(logs!$Q:$Q,logs!$D:$D,risk!$A54,logs!$I:$I,risk!C$41)</f>
        <v>0</v>
      </c>
      <c r="D54" s="69">
        <f>SUMIFS(logs!$Q:$Q,logs!$D:$D,risk!$A54,logs!$I:$I,risk!D$41)</f>
        <v>0</v>
      </c>
      <c r="E54" s="69">
        <f>SUMIFS(logs!$Q:$Q,logs!$D:$D,risk!$A54,logs!$I:$I,risk!E$41)</f>
        <v>0</v>
      </c>
      <c r="F54" s="69">
        <f>SUMIFS(logs!$Q:$Q,logs!$D:$D,risk!$A54,logs!$I:$I,risk!F$41)</f>
        <v>0</v>
      </c>
      <c r="G54" s="69">
        <f>SUMIFS(logs!$Q:$Q,logs!$D:$D,risk!$A54,logs!$I:$I,risk!G$41)</f>
        <v>0</v>
      </c>
      <c r="H54" s="70">
        <f t="shared" si="7"/>
        <v>0</v>
      </c>
    </row>
    <row r="55" spans="1:8" x14ac:dyDescent="0.35">
      <c r="A55" s="65" t="s">
        <v>61</v>
      </c>
      <c r="B55" s="69">
        <f>SUMIFS(logs!$Q:$Q,logs!$D:$D,risk!$A55,logs!$I:$I,risk!B$41)</f>
        <v>0</v>
      </c>
      <c r="C55" s="69">
        <f>SUMIFS(logs!$Q:$Q,logs!$D:$D,risk!$A55,logs!$I:$I,risk!C$41)</f>
        <v>0</v>
      </c>
      <c r="D55" s="69">
        <f>SUMIFS(logs!$Q:$Q,logs!$D:$D,risk!$A55,logs!$I:$I,risk!D$41)</f>
        <v>0</v>
      </c>
      <c r="E55" s="69">
        <f>SUMIFS(logs!$Q:$Q,logs!$D:$D,risk!$A55,logs!$I:$I,risk!E$41)</f>
        <v>0</v>
      </c>
      <c r="F55" s="69">
        <f>SUMIFS(logs!$Q:$Q,logs!$D:$D,risk!$A55,logs!$I:$I,risk!F$41)</f>
        <v>0</v>
      </c>
      <c r="G55" s="69">
        <f>SUMIFS(logs!$Q:$Q,logs!$D:$D,risk!$A55,logs!$I:$I,risk!G$41)</f>
        <v>0</v>
      </c>
      <c r="H55" s="70">
        <f t="shared" si="7"/>
        <v>0</v>
      </c>
    </row>
    <row r="56" spans="1:8" x14ac:dyDescent="0.35">
      <c r="A56" s="65" t="s">
        <v>62</v>
      </c>
      <c r="B56" s="69">
        <f>SUMIFS(logs!$Q:$Q,logs!$D:$D,risk!$A56,logs!$I:$I,risk!B$41)</f>
        <v>0</v>
      </c>
      <c r="C56" s="69">
        <f>SUMIFS(logs!$Q:$Q,logs!$D:$D,risk!$A56,logs!$I:$I,risk!C$41)</f>
        <v>0</v>
      </c>
      <c r="D56" s="69">
        <f>SUMIFS(logs!$Q:$Q,logs!$D:$D,risk!$A56,logs!$I:$I,risk!D$41)</f>
        <v>0</v>
      </c>
      <c r="E56" s="69">
        <f>SUMIFS(logs!$Q:$Q,logs!$D:$D,risk!$A56,logs!$I:$I,risk!E$41)</f>
        <v>0</v>
      </c>
      <c r="F56" s="69">
        <f>SUMIFS(logs!$Q:$Q,logs!$D:$D,risk!$A56,logs!$I:$I,risk!F$41)</f>
        <v>0</v>
      </c>
      <c r="G56" s="69">
        <f>SUMIFS(logs!$Q:$Q,logs!$D:$D,risk!$A56,logs!$I:$I,risk!G$41)</f>
        <v>0</v>
      </c>
      <c r="H56" s="70">
        <f t="shared" si="7"/>
        <v>0</v>
      </c>
    </row>
    <row r="57" spans="1:8" x14ac:dyDescent="0.35">
      <c r="A57" s="65" t="s">
        <v>67</v>
      </c>
      <c r="B57" s="69">
        <f>SUMIFS(logs!$Q:$Q,logs!$D:$D,risk!$A57,logs!$I:$I,risk!B$41)</f>
        <v>0</v>
      </c>
      <c r="C57" s="69">
        <f>SUMIFS(logs!$Q:$Q,logs!$D:$D,risk!$A57,logs!$I:$I,risk!C$41)</f>
        <v>0</v>
      </c>
      <c r="D57" s="69">
        <f>SUMIFS(logs!$Q:$Q,logs!$D:$D,risk!$A57,logs!$I:$I,risk!D$41)</f>
        <v>0</v>
      </c>
      <c r="E57" s="69">
        <f>SUMIFS(logs!$Q:$Q,logs!$D:$D,risk!$A57,logs!$I:$I,risk!E$41)</f>
        <v>0</v>
      </c>
      <c r="F57" s="69">
        <f>SUMIFS(logs!$Q:$Q,logs!$D:$D,risk!$A57,logs!$I:$I,risk!F$41)</f>
        <v>0</v>
      </c>
      <c r="G57" s="69">
        <f>SUMIFS(logs!$Q:$Q,logs!$D:$D,risk!$A57,logs!$I:$I,risk!G$41)</f>
        <v>0</v>
      </c>
      <c r="H57" s="70">
        <f t="shared" si="7"/>
        <v>0</v>
      </c>
    </row>
    <row r="58" spans="1:8" x14ac:dyDescent="0.35">
      <c r="A58" s="65" t="s">
        <v>71</v>
      </c>
      <c r="B58" s="69">
        <f>SUMIFS(logs!$Q:$Q,logs!$D:$D,risk!$A58,logs!$I:$I,risk!B$41)</f>
        <v>0</v>
      </c>
      <c r="C58" s="69">
        <f>SUMIFS(logs!$Q:$Q,logs!$D:$D,risk!$A58,logs!$I:$I,risk!C$41)</f>
        <v>0</v>
      </c>
      <c r="D58" s="69">
        <f>SUMIFS(logs!$Q:$Q,logs!$D:$D,risk!$A58,logs!$I:$I,risk!D$41)</f>
        <v>0</v>
      </c>
      <c r="E58" s="69">
        <f>SUMIFS(logs!$Q:$Q,logs!$D:$D,risk!$A58,logs!$I:$I,risk!E$41)</f>
        <v>0</v>
      </c>
      <c r="F58" s="69">
        <f>SUMIFS(logs!$Q:$Q,logs!$D:$D,risk!$A58,logs!$I:$I,risk!F$41)</f>
        <v>0</v>
      </c>
      <c r="G58" s="69">
        <f>SUMIFS(logs!$Q:$Q,logs!$D:$D,risk!$A58,logs!$I:$I,risk!G$41)</f>
        <v>0</v>
      </c>
      <c r="H58" s="70">
        <f t="shared" si="7"/>
        <v>0</v>
      </c>
    </row>
    <row r="59" spans="1:8" x14ac:dyDescent="0.35">
      <c r="A59" s="66" t="s">
        <v>204</v>
      </c>
      <c r="B59" s="71">
        <f t="shared" ref="B59" si="8">SUM(B42:B58)</f>
        <v>12723369.960616522</v>
      </c>
      <c r="C59" s="71">
        <f t="shared" ref="C59" si="9">SUM(C42:C58)</f>
        <v>27548320.051538873</v>
      </c>
      <c r="D59" s="71">
        <f t="shared" ref="D59" si="10">SUM(D42:D58)</f>
        <v>12583056.362040687</v>
      </c>
      <c r="E59" s="71">
        <f t="shared" ref="E59" si="11">SUM(E42:E58)</f>
        <v>780939.77498345473</v>
      </c>
      <c r="F59" s="71">
        <f t="shared" ref="F59" si="12">SUM(F42:F58)</f>
        <v>9633365.7896584459</v>
      </c>
      <c r="G59" s="71">
        <f t="shared" ref="G59" si="13">SUM(G42:G58)</f>
        <v>0</v>
      </c>
      <c r="H59" s="72">
        <f t="shared" ref="H59" si="14">SUM(H42:H58)</f>
        <v>63269051.93883799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11F18-FA8C-B24D-AD17-AC9EFF675552}">
  <sheetPr>
    <tabColor rgb="FFFFFF00"/>
  </sheetPr>
  <dimension ref="B2:O44"/>
  <sheetViews>
    <sheetView showGridLines="0" topLeftCell="A4" zoomScale="60" zoomScaleNormal="60" workbookViewId="0">
      <selection activeCell="J36" sqref="J36"/>
    </sheetView>
  </sheetViews>
  <sheetFormatPr defaultColWidth="10.6640625" defaultRowHeight="15.5" x14ac:dyDescent="0.35"/>
  <cols>
    <col min="1" max="1" width="6.9140625" customWidth="1"/>
    <col min="2" max="2" width="16" customWidth="1"/>
    <col min="3" max="3" width="13.33203125" customWidth="1"/>
    <col min="4" max="4" width="13.08203125" customWidth="1"/>
    <col min="5" max="6" width="14.25" customWidth="1"/>
  </cols>
  <sheetData>
    <row r="2" spans="2:15" x14ac:dyDescent="0.35">
      <c r="B2" t="s">
        <v>233</v>
      </c>
      <c r="C2" s="95">
        <f ca="1">WORKDAY(TODAY(),-1)</f>
        <v>43885</v>
      </c>
      <c r="H2" s="86"/>
    </row>
    <row r="3" spans="2:15" x14ac:dyDescent="0.35">
      <c r="B3" t="s">
        <v>234</v>
      </c>
      <c r="C3" s="80">
        <f ca="1">MATCH(C2,pricedata!1:1,0)</f>
        <v>42</v>
      </c>
      <c r="H3" s="86"/>
    </row>
    <row r="4" spans="2:15" x14ac:dyDescent="0.35">
      <c r="C4" s="38"/>
      <c r="H4" s="132"/>
      <c r="I4" s="133"/>
      <c r="J4" s="133"/>
      <c r="K4" s="133"/>
      <c r="L4" s="133"/>
      <c r="M4" s="68"/>
      <c r="N4" s="68"/>
      <c r="O4" s="68"/>
    </row>
    <row r="5" spans="2:15" x14ac:dyDescent="0.35">
      <c r="B5" t="s">
        <v>235</v>
      </c>
      <c r="H5" s="132"/>
      <c r="I5" s="133"/>
      <c r="J5" s="133"/>
      <c r="K5" s="133"/>
      <c r="L5" s="133"/>
      <c r="M5" s="68"/>
      <c r="N5" s="68"/>
      <c r="O5" s="68"/>
    </row>
    <row r="6" spans="2:15" x14ac:dyDescent="0.35">
      <c r="B6" s="79" t="s">
        <v>236</v>
      </c>
      <c r="C6" s="79" t="s">
        <v>132</v>
      </c>
      <c r="D6" s="79" t="s">
        <v>237</v>
      </c>
      <c r="E6" s="79" t="s">
        <v>238</v>
      </c>
      <c r="F6" s="79" t="s">
        <v>252</v>
      </c>
      <c r="H6" s="134" t="s">
        <v>310</v>
      </c>
      <c r="I6" s="135"/>
      <c r="J6" s="136"/>
      <c r="K6" s="137"/>
      <c r="L6" s="137"/>
      <c r="M6" s="68"/>
      <c r="N6" s="68"/>
      <c r="O6" s="68"/>
    </row>
    <row r="7" spans="2:15" x14ac:dyDescent="0.35">
      <c r="B7" t="s">
        <v>193</v>
      </c>
      <c r="C7" t="s">
        <v>188</v>
      </c>
      <c r="D7" t="s">
        <v>14</v>
      </c>
      <c r="E7" t="s">
        <v>239</v>
      </c>
      <c r="F7" t="s">
        <v>3</v>
      </c>
      <c r="H7" s="138"/>
      <c r="I7" s="138"/>
      <c r="J7" s="139" t="s">
        <v>311</v>
      </c>
      <c r="K7" s="138" t="s">
        <v>312</v>
      </c>
      <c r="L7" s="139" t="s">
        <v>313</v>
      </c>
      <c r="M7" s="68"/>
      <c r="N7" s="68"/>
      <c r="O7" s="68"/>
    </row>
    <row r="8" spans="2:15" ht="15.5" customHeight="1" x14ac:dyDescent="0.35">
      <c r="B8" t="s">
        <v>194</v>
      </c>
      <c r="C8" t="s">
        <v>189</v>
      </c>
      <c r="D8" t="s">
        <v>31</v>
      </c>
      <c r="E8" t="s">
        <v>240</v>
      </c>
      <c r="F8" t="s">
        <v>18</v>
      </c>
      <c r="H8" s="140" t="s">
        <v>316</v>
      </c>
      <c r="I8" s="141" t="s">
        <v>314</v>
      </c>
      <c r="J8" s="142">
        <v>-5.0000000000000001E-3</v>
      </c>
      <c r="K8" s="143">
        <v>0.25</v>
      </c>
      <c r="L8" s="144"/>
      <c r="M8" s="68"/>
      <c r="N8" s="68"/>
      <c r="O8" s="68"/>
    </row>
    <row r="9" spans="2:15" x14ac:dyDescent="0.35">
      <c r="C9" t="s">
        <v>190</v>
      </c>
      <c r="D9" t="s">
        <v>64</v>
      </c>
      <c r="E9" t="s">
        <v>241</v>
      </c>
      <c r="F9" t="s">
        <v>22</v>
      </c>
      <c r="H9" s="145"/>
      <c r="I9" s="146"/>
      <c r="J9" s="142">
        <v>-7.4999999999999997E-3</v>
      </c>
      <c r="K9" s="143">
        <v>0.5</v>
      </c>
      <c r="L9" s="144"/>
      <c r="M9" s="68"/>
      <c r="N9" s="68"/>
      <c r="O9" s="68"/>
    </row>
    <row r="10" spans="2:15" x14ac:dyDescent="0.35">
      <c r="C10" t="s">
        <v>191</v>
      </c>
      <c r="D10" t="s">
        <v>94</v>
      </c>
      <c r="E10" t="s">
        <v>242</v>
      </c>
      <c r="F10" t="s">
        <v>139</v>
      </c>
      <c r="H10" s="145"/>
      <c r="I10" s="147"/>
      <c r="J10" s="148">
        <v>-0.01</v>
      </c>
      <c r="K10" s="149">
        <v>1</v>
      </c>
      <c r="L10" s="150"/>
      <c r="M10" s="68"/>
      <c r="N10" s="68"/>
      <c r="O10" s="68"/>
    </row>
    <row r="11" spans="2:15" x14ac:dyDescent="0.35">
      <c r="C11" t="s">
        <v>258</v>
      </c>
      <c r="D11" t="s">
        <v>108</v>
      </c>
      <c r="E11" t="s">
        <v>243</v>
      </c>
      <c r="F11" t="s">
        <v>27</v>
      </c>
      <c r="H11" s="145"/>
      <c r="I11" s="141" t="s">
        <v>315</v>
      </c>
      <c r="J11" s="142">
        <v>1.2999999999999999E-2</v>
      </c>
      <c r="K11" s="68"/>
      <c r="L11" s="151">
        <v>0.4</v>
      </c>
      <c r="M11" s="68"/>
      <c r="N11" s="68"/>
      <c r="O11" s="68"/>
    </row>
    <row r="12" spans="2:15" x14ac:dyDescent="0.35">
      <c r="C12" t="s">
        <v>192</v>
      </c>
      <c r="D12" t="s">
        <v>115</v>
      </c>
      <c r="E12" t="s">
        <v>244</v>
      </c>
      <c r="F12" t="s">
        <v>135</v>
      </c>
      <c r="H12" s="145"/>
      <c r="I12" s="152"/>
      <c r="J12" s="142">
        <v>1.9E-2</v>
      </c>
      <c r="K12" s="68"/>
      <c r="L12" s="151">
        <v>0.7</v>
      </c>
      <c r="M12" s="68"/>
      <c r="N12" s="68"/>
      <c r="O12" s="68"/>
    </row>
    <row r="13" spans="2:15" x14ac:dyDescent="0.35">
      <c r="E13" t="s">
        <v>245</v>
      </c>
      <c r="F13" t="s">
        <v>178</v>
      </c>
      <c r="H13" s="153"/>
      <c r="I13" s="154"/>
      <c r="J13" s="148">
        <v>2.5000000000000001E-2</v>
      </c>
      <c r="K13" s="155"/>
      <c r="L13" s="156">
        <v>1</v>
      </c>
      <c r="M13" s="68"/>
      <c r="N13" s="68"/>
      <c r="O13" s="68"/>
    </row>
    <row r="14" spans="2:15" ht="15.5" customHeight="1" x14ac:dyDescent="0.35">
      <c r="E14" t="s">
        <v>246</v>
      </c>
      <c r="F14" t="s">
        <v>25</v>
      </c>
      <c r="H14" s="157" t="s">
        <v>317</v>
      </c>
      <c r="I14" s="141" t="s">
        <v>314</v>
      </c>
      <c r="J14" s="142">
        <v>-7.4999999999999997E-3</v>
      </c>
      <c r="K14" s="143">
        <v>0.25</v>
      </c>
      <c r="L14" s="158"/>
      <c r="M14" s="68"/>
      <c r="N14" s="68"/>
      <c r="O14" s="68"/>
    </row>
    <row r="15" spans="2:15" x14ac:dyDescent="0.35">
      <c r="E15" t="s">
        <v>247</v>
      </c>
      <c r="F15" t="s">
        <v>101</v>
      </c>
      <c r="H15" s="145"/>
      <c r="I15" s="146"/>
      <c r="J15" s="142">
        <v>-1.375E-2</v>
      </c>
      <c r="K15" s="143">
        <v>0.72499999999999998</v>
      </c>
      <c r="L15" s="144"/>
      <c r="M15" s="68"/>
      <c r="N15" s="68"/>
      <c r="O15" s="68"/>
    </row>
    <row r="16" spans="2:15" x14ac:dyDescent="0.35">
      <c r="E16" t="s">
        <v>248</v>
      </c>
      <c r="F16" t="s">
        <v>163</v>
      </c>
      <c r="H16" s="145"/>
      <c r="I16" s="147"/>
      <c r="J16" s="148">
        <v>-2.5000000000000001E-2</v>
      </c>
      <c r="K16" s="149">
        <v>1</v>
      </c>
      <c r="L16" s="159"/>
      <c r="M16" s="68"/>
      <c r="N16" s="68"/>
      <c r="O16" s="68"/>
    </row>
    <row r="17" spans="5:15" x14ac:dyDescent="0.35">
      <c r="E17" t="s">
        <v>249</v>
      </c>
      <c r="F17" t="s">
        <v>30</v>
      </c>
      <c r="H17" s="145"/>
      <c r="I17" s="141" t="s">
        <v>315</v>
      </c>
      <c r="J17" s="142">
        <v>2.5000000000000001E-2</v>
      </c>
      <c r="K17" s="68"/>
      <c r="L17" s="151">
        <v>0.2</v>
      </c>
      <c r="M17" s="68"/>
      <c r="N17" s="68"/>
      <c r="O17" s="68"/>
    </row>
    <row r="18" spans="5:15" x14ac:dyDescent="0.35">
      <c r="E18" t="s">
        <v>250</v>
      </c>
      <c r="F18" t="s">
        <v>33</v>
      </c>
      <c r="H18" s="145"/>
      <c r="I18" s="152"/>
      <c r="J18" s="142">
        <v>4.9000000000000002E-2</v>
      </c>
      <c r="K18" s="68"/>
      <c r="L18" s="151">
        <v>0.57499999999999996</v>
      </c>
      <c r="M18" s="68"/>
      <c r="N18" s="68"/>
      <c r="O18" s="68"/>
    </row>
    <row r="19" spans="5:15" x14ac:dyDescent="0.35">
      <c r="F19" t="s">
        <v>36</v>
      </c>
      <c r="H19" s="153"/>
      <c r="I19" s="154"/>
      <c r="J19" s="148">
        <v>9.2499999999999999E-2</v>
      </c>
      <c r="K19" s="155"/>
      <c r="L19" s="156">
        <v>1</v>
      </c>
      <c r="M19" s="68"/>
      <c r="N19" s="68"/>
      <c r="O19" s="68"/>
    </row>
    <row r="20" spans="5:15" x14ac:dyDescent="0.35">
      <c r="F20" t="s">
        <v>39</v>
      </c>
      <c r="H20" s="68"/>
      <c r="I20" s="68"/>
      <c r="J20" s="68"/>
      <c r="K20" s="68"/>
      <c r="L20" s="68"/>
      <c r="M20" s="68"/>
      <c r="N20" s="68"/>
      <c r="O20" s="68"/>
    </row>
    <row r="21" spans="5:15" x14ac:dyDescent="0.35">
      <c r="F21" t="s">
        <v>63</v>
      </c>
      <c r="H21" s="68"/>
      <c r="I21" s="68"/>
      <c r="J21" s="68"/>
      <c r="K21" s="68"/>
      <c r="L21" s="68"/>
      <c r="M21" s="68"/>
      <c r="N21" s="68"/>
      <c r="O21" s="68"/>
    </row>
    <row r="22" spans="5:15" x14ac:dyDescent="0.35">
      <c r="F22" t="s">
        <v>68</v>
      </c>
      <c r="H22" s="68"/>
      <c r="I22" s="68"/>
      <c r="J22" s="68"/>
      <c r="K22" s="68"/>
      <c r="L22" s="68"/>
      <c r="M22" s="68"/>
      <c r="N22" s="68"/>
      <c r="O22" s="68"/>
    </row>
    <row r="23" spans="5:15" x14ac:dyDescent="0.35">
      <c r="F23" t="s">
        <v>72</v>
      </c>
      <c r="H23" s="68"/>
      <c r="I23" s="68"/>
      <c r="J23" s="68"/>
      <c r="K23" s="68"/>
      <c r="L23" s="68"/>
      <c r="M23" s="68"/>
      <c r="N23" s="68"/>
      <c r="O23" s="68"/>
    </row>
    <row r="24" spans="5:15" x14ac:dyDescent="0.35">
      <c r="F24" t="s">
        <v>75</v>
      </c>
      <c r="H24" s="68"/>
      <c r="I24" s="68"/>
      <c r="J24" s="68"/>
      <c r="K24" s="68"/>
      <c r="L24" s="68"/>
      <c r="M24" s="68"/>
      <c r="N24" s="68"/>
      <c r="O24" s="68"/>
    </row>
    <row r="25" spans="5:15" x14ac:dyDescent="0.35">
      <c r="F25" t="s">
        <v>78</v>
      </c>
      <c r="H25" s="68"/>
      <c r="I25" s="68"/>
      <c r="J25" s="68"/>
      <c r="K25" s="68"/>
      <c r="L25" s="68"/>
      <c r="M25" s="68"/>
      <c r="N25" s="68"/>
      <c r="O25" s="68"/>
    </row>
    <row r="26" spans="5:15" ht="15.5" customHeight="1" x14ac:dyDescent="0.35">
      <c r="F26" t="s">
        <v>93</v>
      </c>
      <c r="H26" s="68"/>
      <c r="I26" s="68"/>
      <c r="J26" s="68"/>
      <c r="K26" s="68"/>
      <c r="L26" s="68"/>
      <c r="M26" s="68"/>
      <c r="N26" s="68"/>
      <c r="O26" s="68"/>
    </row>
    <row r="27" spans="5:15" x14ac:dyDescent="0.35">
      <c r="F27" t="s">
        <v>97</v>
      </c>
      <c r="H27" s="68"/>
      <c r="I27" s="68"/>
      <c r="J27" s="68"/>
      <c r="K27" s="68"/>
      <c r="L27" s="68"/>
      <c r="M27" s="68"/>
      <c r="N27" s="68"/>
      <c r="O27" s="68"/>
    </row>
    <row r="28" spans="5:15" x14ac:dyDescent="0.35">
      <c r="F28" t="s">
        <v>160</v>
      </c>
      <c r="H28" s="68"/>
      <c r="I28" s="68"/>
      <c r="J28" s="68"/>
      <c r="K28" s="68"/>
      <c r="L28" s="68"/>
      <c r="M28" s="68"/>
      <c r="N28" s="68"/>
      <c r="O28" s="68"/>
    </row>
    <row r="29" spans="5:15" x14ac:dyDescent="0.35">
      <c r="F29" t="s">
        <v>103</v>
      </c>
    </row>
    <row r="30" spans="5:15" x14ac:dyDescent="0.35">
      <c r="F30" t="s">
        <v>107</v>
      </c>
    </row>
    <row r="31" spans="5:15" x14ac:dyDescent="0.35">
      <c r="F31" t="s">
        <v>111</v>
      </c>
    </row>
    <row r="32" spans="5:15" x14ac:dyDescent="0.35">
      <c r="F32" t="s">
        <v>114</v>
      </c>
    </row>
    <row r="33" spans="6:8" x14ac:dyDescent="0.35">
      <c r="F33" t="s">
        <v>118</v>
      </c>
    </row>
    <row r="35" spans="6:8" x14ac:dyDescent="0.35">
      <c r="H35" s="86"/>
    </row>
    <row r="36" spans="6:8" x14ac:dyDescent="0.35">
      <c r="H36" s="86"/>
    </row>
    <row r="37" spans="6:8" x14ac:dyDescent="0.35">
      <c r="H37" s="86"/>
    </row>
    <row r="38" spans="6:8" x14ac:dyDescent="0.35">
      <c r="H38" s="86"/>
    </row>
    <row r="39" spans="6:8" x14ac:dyDescent="0.35">
      <c r="H39" s="86"/>
    </row>
    <row r="40" spans="6:8" x14ac:dyDescent="0.35">
      <c r="H40" s="86"/>
    </row>
    <row r="41" spans="6:8" x14ac:dyDescent="0.35">
      <c r="H41" s="86"/>
    </row>
    <row r="42" spans="6:8" x14ac:dyDescent="0.35">
      <c r="H42" s="86"/>
    </row>
    <row r="43" spans="6:8" x14ac:dyDescent="0.35">
      <c r="H43" s="86"/>
    </row>
    <row r="44" spans="6:8" x14ac:dyDescent="0.35">
      <c r="H44" s="86"/>
    </row>
  </sheetData>
  <mergeCells count="6">
    <mergeCell ref="H14:H19"/>
    <mergeCell ref="I14:I16"/>
    <mergeCell ref="I17:I19"/>
    <mergeCell ref="H8:H13"/>
    <mergeCell ref="I8:I10"/>
    <mergeCell ref="I11:I13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F0998-872A-3A41-A825-BC7353B766A3}">
  <sheetPr>
    <tabColor rgb="FFFFFF00"/>
  </sheetPr>
  <dimension ref="A1:X45"/>
  <sheetViews>
    <sheetView showGridLines="0" tabSelected="1" topLeftCell="D1" zoomScale="70" zoomScaleNormal="70" workbookViewId="0">
      <selection activeCell="E3" sqref="E3"/>
    </sheetView>
  </sheetViews>
  <sheetFormatPr defaultColWidth="10.6640625" defaultRowHeight="15.5" x14ac:dyDescent="0.35"/>
  <cols>
    <col min="8" max="8" width="22.1640625" customWidth="1"/>
    <col min="11" max="11" width="12.1640625" customWidth="1"/>
    <col min="13" max="13" width="12.1640625" customWidth="1"/>
    <col min="14" max="15" width="15.1640625" customWidth="1"/>
    <col min="17" max="17" width="14.1640625" customWidth="1"/>
    <col min="20" max="20" width="14.83203125" customWidth="1"/>
    <col min="21" max="21" width="15" customWidth="1"/>
  </cols>
  <sheetData>
    <row r="1" spans="1:24" ht="19.5" x14ac:dyDescent="0.45">
      <c r="A1" s="7" t="s">
        <v>7</v>
      </c>
      <c r="B1" s="8"/>
      <c r="C1" s="8"/>
      <c r="D1" s="8"/>
      <c r="E1" s="8">
        <v>1</v>
      </c>
      <c r="F1" s="8">
        <v>2</v>
      </c>
      <c r="G1" s="8">
        <v>3</v>
      </c>
      <c r="H1" s="8">
        <v>4</v>
      </c>
      <c r="I1" s="8">
        <v>5</v>
      </c>
      <c r="J1" s="8">
        <v>6</v>
      </c>
      <c r="K1" s="8">
        <v>7</v>
      </c>
      <c r="L1" s="8">
        <v>8</v>
      </c>
      <c r="M1" s="8">
        <v>9</v>
      </c>
      <c r="N1" s="8">
        <v>10</v>
      </c>
      <c r="O1" s="8">
        <v>11</v>
      </c>
      <c r="P1" s="8">
        <v>12</v>
      </c>
      <c r="Q1" s="8">
        <v>13</v>
      </c>
      <c r="R1" s="8">
        <v>14</v>
      </c>
      <c r="V1" s="74"/>
      <c r="W1" s="75"/>
      <c r="X1" s="74"/>
    </row>
    <row r="2" spans="1:24" ht="23" customHeight="1" x14ac:dyDescent="0.35">
      <c r="A2" s="9" t="s">
        <v>8</v>
      </c>
      <c r="B2" s="9" t="s">
        <v>9</v>
      </c>
      <c r="C2" s="10" t="s">
        <v>10</v>
      </c>
      <c r="D2" s="11"/>
      <c r="E2" s="9" t="s">
        <v>318</v>
      </c>
      <c r="F2" s="9" t="s">
        <v>151</v>
      </c>
      <c r="G2" s="9" t="s">
        <v>132</v>
      </c>
      <c r="H2" s="10" t="s">
        <v>133</v>
      </c>
      <c r="I2" s="10" t="s">
        <v>125</v>
      </c>
      <c r="J2" s="10" t="s">
        <v>158</v>
      </c>
      <c r="K2" s="10" t="s">
        <v>161</v>
      </c>
      <c r="L2" s="10" t="s">
        <v>162</v>
      </c>
      <c r="M2" s="10" t="s">
        <v>154</v>
      </c>
      <c r="N2" s="10" t="s">
        <v>165</v>
      </c>
      <c r="O2" s="10" t="s">
        <v>166</v>
      </c>
      <c r="P2" s="10" t="s">
        <v>12</v>
      </c>
      <c r="Q2" s="10" t="s">
        <v>170</v>
      </c>
      <c r="R2" s="10" t="s">
        <v>196</v>
      </c>
      <c r="T2" s="10" t="s">
        <v>132</v>
      </c>
      <c r="U2" s="10" t="s">
        <v>228</v>
      </c>
      <c r="V2" s="10" t="s">
        <v>230</v>
      </c>
      <c r="W2" s="10" t="s">
        <v>231</v>
      </c>
      <c r="X2" s="10" t="s">
        <v>232</v>
      </c>
    </row>
    <row r="3" spans="1:24" x14ac:dyDescent="0.35">
      <c r="A3" s="8" t="s">
        <v>13</v>
      </c>
      <c r="B3" s="12">
        <v>43845</v>
      </c>
      <c r="C3" s="13">
        <f ca="1">(B3-TODAY())/30.5</f>
        <v>-1.3442622950819672</v>
      </c>
      <c r="D3" s="8"/>
      <c r="E3" s="40" t="s">
        <v>3</v>
      </c>
      <c r="F3" s="8" t="s">
        <v>3</v>
      </c>
      <c r="G3" s="8" t="s">
        <v>14</v>
      </c>
      <c r="H3" s="8" t="s">
        <v>15</v>
      </c>
      <c r="I3" s="8" t="s">
        <v>16</v>
      </c>
      <c r="J3" s="8">
        <v>60000</v>
      </c>
      <c r="K3" s="8">
        <v>2204.62</v>
      </c>
      <c r="L3" s="8">
        <v>100</v>
      </c>
      <c r="M3" s="18">
        <f t="shared" ref="M3:M29" si="0">J3/K3</f>
        <v>27.215574566138383</v>
      </c>
      <c r="N3" s="19">
        <f t="shared" ref="N3:N29" si="1">K3/L3</f>
        <v>22.046199999999999</v>
      </c>
      <c r="O3" s="8">
        <f>0.53+0.25</f>
        <v>0.78</v>
      </c>
      <c r="P3" s="8">
        <v>1</v>
      </c>
      <c r="Q3" s="8" t="s">
        <v>171</v>
      </c>
      <c r="R3" s="8" t="s">
        <v>120</v>
      </c>
      <c r="T3" s="1" t="s">
        <v>207</v>
      </c>
      <c r="U3" s="1" t="s">
        <v>188</v>
      </c>
      <c r="V3" s="74">
        <v>7.4999999999999997E-3</v>
      </c>
      <c r="W3" s="74"/>
      <c r="X3" s="74"/>
    </row>
    <row r="4" spans="1:24" x14ac:dyDescent="0.35">
      <c r="A4" s="8" t="s">
        <v>17</v>
      </c>
      <c r="B4" s="12">
        <v>43876</v>
      </c>
      <c r="C4" s="13">
        <f t="shared" ref="C4:C38" ca="1" si="2">(B4-TODAY())/30.5</f>
        <v>-0.32786885245901637</v>
      </c>
      <c r="D4" s="8"/>
      <c r="E4" s="40" t="s">
        <v>18</v>
      </c>
      <c r="F4" s="8" t="s">
        <v>140</v>
      </c>
      <c r="G4" s="8" t="s">
        <v>14</v>
      </c>
      <c r="H4" s="8" t="s">
        <v>19</v>
      </c>
      <c r="I4" s="8" t="s">
        <v>20</v>
      </c>
      <c r="J4" s="8">
        <v>25</v>
      </c>
      <c r="K4" s="8">
        <v>1</v>
      </c>
      <c r="L4" s="8">
        <v>1</v>
      </c>
      <c r="M4" s="18">
        <f t="shared" si="0"/>
        <v>25</v>
      </c>
      <c r="N4" s="19">
        <f t="shared" si="1"/>
        <v>1</v>
      </c>
      <c r="O4" s="8">
        <f>0.53+0.25</f>
        <v>0.78</v>
      </c>
      <c r="P4" s="8">
        <v>1</v>
      </c>
      <c r="Q4" s="8" t="s">
        <v>172</v>
      </c>
      <c r="R4" s="8" t="s">
        <v>129</v>
      </c>
      <c r="T4" s="1" t="s">
        <v>208</v>
      </c>
      <c r="U4" s="1" t="s">
        <v>189</v>
      </c>
      <c r="V4" s="74"/>
      <c r="W4" s="74">
        <v>3.5000000000000003E-2</v>
      </c>
      <c r="X4" s="74">
        <v>0.05</v>
      </c>
    </row>
    <row r="5" spans="1:24" x14ac:dyDescent="0.35">
      <c r="A5" s="8" t="s">
        <v>21</v>
      </c>
      <c r="B5" s="12">
        <v>43905</v>
      </c>
      <c r="C5" s="13">
        <f t="shared" ca="1" si="2"/>
        <v>0.62295081967213117</v>
      </c>
      <c r="D5" s="8"/>
      <c r="E5" s="81" t="s">
        <v>25</v>
      </c>
      <c r="F5" s="82" t="s">
        <v>25</v>
      </c>
      <c r="G5" s="82" t="s">
        <v>14</v>
      </c>
      <c r="H5" s="82" t="s">
        <v>138</v>
      </c>
      <c r="I5" s="82" t="s">
        <v>16</v>
      </c>
      <c r="J5" s="82">
        <v>100</v>
      </c>
      <c r="K5" s="82">
        <f>1.1023</f>
        <v>1.1023000000000001</v>
      </c>
      <c r="L5" s="82">
        <v>100</v>
      </c>
      <c r="M5" s="83">
        <f>J5/K5</f>
        <v>90.719404880703976</v>
      </c>
      <c r="N5" s="84">
        <f>K5/L5</f>
        <v>1.1023E-2</v>
      </c>
      <c r="O5" s="82">
        <f>0.53+0.25</f>
        <v>0.78</v>
      </c>
      <c r="P5" s="82">
        <v>1</v>
      </c>
      <c r="Q5" s="82" t="s">
        <v>171</v>
      </c>
      <c r="R5" s="82" t="s">
        <v>120</v>
      </c>
      <c r="T5" s="1" t="s">
        <v>209</v>
      </c>
      <c r="U5" s="1" t="s">
        <v>190</v>
      </c>
      <c r="V5" s="74"/>
      <c r="W5" s="74"/>
      <c r="X5" s="74"/>
    </row>
    <row r="6" spans="1:24" x14ac:dyDescent="0.35">
      <c r="A6" s="8" t="s">
        <v>24</v>
      </c>
      <c r="B6" s="12">
        <v>43936</v>
      </c>
      <c r="C6" s="13">
        <f t="shared" ca="1" si="2"/>
        <v>1.639344262295082</v>
      </c>
      <c r="D6" s="8"/>
      <c r="E6" s="81" t="s">
        <v>22</v>
      </c>
      <c r="F6" s="82" t="s">
        <v>141</v>
      </c>
      <c r="G6" s="82" t="s">
        <v>14</v>
      </c>
      <c r="H6" s="82" t="s">
        <v>155</v>
      </c>
      <c r="I6" s="82" t="s">
        <v>23</v>
      </c>
      <c r="J6" s="82">
        <v>10</v>
      </c>
      <c r="K6" s="82">
        <v>1</v>
      </c>
      <c r="L6" s="82">
        <v>1</v>
      </c>
      <c r="M6" s="83">
        <f>J6/K6</f>
        <v>10</v>
      </c>
      <c r="N6" s="84">
        <f>K6/L6</f>
        <v>1</v>
      </c>
      <c r="O6" s="82">
        <f>6/7</f>
        <v>0.8571428571428571</v>
      </c>
      <c r="P6" s="82">
        <v>1</v>
      </c>
      <c r="Q6" s="82" t="s">
        <v>173</v>
      </c>
      <c r="R6" s="82" t="s">
        <v>122</v>
      </c>
      <c r="T6" s="1" t="s">
        <v>210</v>
      </c>
      <c r="U6" s="1" t="s">
        <v>191</v>
      </c>
      <c r="V6" s="74"/>
      <c r="W6" s="74"/>
      <c r="X6" s="74"/>
    </row>
    <row r="7" spans="1:24" x14ac:dyDescent="0.35">
      <c r="A7" s="8" t="s">
        <v>26</v>
      </c>
      <c r="B7" s="12">
        <v>43966</v>
      </c>
      <c r="C7" s="13">
        <f t="shared" ca="1" si="2"/>
        <v>2.622950819672131</v>
      </c>
      <c r="D7" s="8"/>
      <c r="E7" s="40" t="s">
        <v>139</v>
      </c>
      <c r="F7" s="8" t="s">
        <v>142</v>
      </c>
      <c r="G7" s="8" t="s">
        <v>14</v>
      </c>
      <c r="H7" s="8" t="s">
        <v>156</v>
      </c>
      <c r="I7" s="8" t="s">
        <v>23</v>
      </c>
      <c r="J7" s="8">
        <v>10</v>
      </c>
      <c r="K7" s="8">
        <v>1</v>
      </c>
      <c r="L7" s="8">
        <v>1</v>
      </c>
      <c r="M7" s="18">
        <f>J7/K7</f>
        <v>10</v>
      </c>
      <c r="N7" s="19">
        <f>K7/L7</f>
        <v>1</v>
      </c>
      <c r="O7" s="8">
        <f t="shared" ref="O6:O49" si="3">6/7</f>
        <v>0.8571428571428571</v>
      </c>
      <c r="P7" s="8">
        <v>1</v>
      </c>
      <c r="Q7" s="8" t="s">
        <v>173</v>
      </c>
      <c r="R7" s="8" t="s">
        <v>122</v>
      </c>
      <c r="T7" s="1" t="s">
        <v>211</v>
      </c>
      <c r="U7" s="1" t="s">
        <v>192</v>
      </c>
      <c r="V7" s="74"/>
      <c r="W7" s="74"/>
      <c r="X7" s="74"/>
    </row>
    <row r="8" spans="1:24" x14ac:dyDescent="0.35">
      <c r="A8" s="8" t="s">
        <v>29</v>
      </c>
      <c r="B8" s="12">
        <v>43997</v>
      </c>
      <c r="C8" s="13">
        <f t="shared" ca="1" si="2"/>
        <v>3.639344262295082</v>
      </c>
      <c r="D8" s="8"/>
      <c r="E8" s="40" t="s">
        <v>27</v>
      </c>
      <c r="F8" s="8" t="s">
        <v>144</v>
      </c>
      <c r="G8" s="8" t="s">
        <v>14</v>
      </c>
      <c r="H8" s="8" t="s">
        <v>28</v>
      </c>
      <c r="I8" s="8" t="s">
        <v>45</v>
      </c>
      <c r="J8" s="8">
        <v>10</v>
      </c>
      <c r="K8" s="8">
        <v>1</v>
      </c>
      <c r="L8" s="8">
        <v>1</v>
      </c>
      <c r="M8" s="18">
        <f>J8/K8</f>
        <v>10</v>
      </c>
      <c r="N8" s="19">
        <f>K8/L8</f>
        <v>1</v>
      </c>
      <c r="O8" s="8">
        <f t="shared" si="3"/>
        <v>0.8571428571428571</v>
      </c>
      <c r="P8" s="8">
        <v>1</v>
      </c>
      <c r="Q8" s="8" t="s">
        <v>173</v>
      </c>
      <c r="R8" s="8" t="s">
        <v>122</v>
      </c>
      <c r="T8" s="1" t="s">
        <v>259</v>
      </c>
      <c r="U8" s="1" t="s">
        <v>258</v>
      </c>
    </row>
    <row r="9" spans="1:24" x14ac:dyDescent="0.35">
      <c r="A9" s="8" t="s">
        <v>4</v>
      </c>
      <c r="B9" s="12">
        <v>44027</v>
      </c>
      <c r="C9" s="13">
        <f t="shared" ca="1" si="2"/>
        <v>4.6229508196721314</v>
      </c>
      <c r="D9" s="8"/>
      <c r="E9" s="40" t="s">
        <v>135</v>
      </c>
      <c r="F9" s="8" t="s">
        <v>145</v>
      </c>
      <c r="G9" s="8" t="s">
        <v>14</v>
      </c>
      <c r="H9" s="8" t="s">
        <v>136</v>
      </c>
      <c r="I9" s="8" t="s">
        <v>45</v>
      </c>
      <c r="J9" s="8">
        <v>10</v>
      </c>
      <c r="K9" s="8">
        <v>1</v>
      </c>
      <c r="L9" s="8">
        <v>1</v>
      </c>
      <c r="M9" s="18">
        <f>J9/K9</f>
        <v>10</v>
      </c>
      <c r="N9" s="19">
        <f>K9/L9</f>
        <v>1</v>
      </c>
      <c r="O9" s="8">
        <f t="shared" si="3"/>
        <v>0.8571428571428571</v>
      </c>
      <c r="P9" s="8">
        <v>1</v>
      </c>
      <c r="Q9" s="8" t="s">
        <v>173</v>
      </c>
      <c r="R9" s="8" t="s">
        <v>122</v>
      </c>
    </row>
    <row r="10" spans="1:24" x14ac:dyDescent="0.35">
      <c r="A10" s="8" t="s">
        <v>35</v>
      </c>
      <c r="B10" s="12">
        <v>44058</v>
      </c>
      <c r="C10" s="13">
        <f t="shared" ca="1" si="2"/>
        <v>5.639344262295082</v>
      </c>
      <c r="D10" s="8"/>
      <c r="E10" s="41" t="s">
        <v>178</v>
      </c>
      <c r="F10" s="23" t="s">
        <v>146</v>
      </c>
      <c r="G10" s="23" t="s">
        <v>14</v>
      </c>
      <c r="H10" s="23" t="s">
        <v>137</v>
      </c>
      <c r="I10" s="23" t="s">
        <v>45</v>
      </c>
      <c r="J10" s="23">
        <v>10</v>
      </c>
      <c r="K10" s="23">
        <v>1</v>
      </c>
      <c r="L10" s="23">
        <v>1</v>
      </c>
      <c r="M10" s="24">
        <f>J10/K10</f>
        <v>10</v>
      </c>
      <c r="N10" s="25">
        <f>K10/L10</f>
        <v>1</v>
      </c>
      <c r="O10" s="23">
        <f t="shared" si="3"/>
        <v>0.8571428571428571</v>
      </c>
      <c r="P10" s="23">
        <v>1</v>
      </c>
      <c r="Q10" s="23" t="s">
        <v>173</v>
      </c>
      <c r="R10" s="23" t="s">
        <v>122</v>
      </c>
      <c r="T10" s="10" t="s">
        <v>216</v>
      </c>
      <c r="U10" s="10" t="s">
        <v>229</v>
      </c>
    </row>
    <row r="11" spans="1:24" x14ac:dyDescent="0.35">
      <c r="A11" s="8" t="s">
        <v>38</v>
      </c>
      <c r="B11" s="12">
        <v>44089</v>
      </c>
      <c r="C11" s="13">
        <f t="shared" ca="1" si="2"/>
        <v>6.6557377049180326</v>
      </c>
      <c r="D11" s="8"/>
      <c r="E11" s="40" t="s">
        <v>101</v>
      </c>
      <c r="F11" s="8" t="s">
        <v>143</v>
      </c>
      <c r="G11" s="8" t="s">
        <v>31</v>
      </c>
      <c r="H11" s="8" t="s">
        <v>157</v>
      </c>
      <c r="I11" s="8" t="s">
        <v>45</v>
      </c>
      <c r="J11" s="8">
        <v>10</v>
      </c>
      <c r="K11" s="8">
        <v>1</v>
      </c>
      <c r="L11" s="8">
        <v>1</v>
      </c>
      <c r="M11" s="18">
        <f t="shared" si="0"/>
        <v>10</v>
      </c>
      <c r="N11" s="19">
        <f t="shared" si="1"/>
        <v>1</v>
      </c>
      <c r="O11" s="8">
        <f t="shared" ref="O11" si="4">6/7</f>
        <v>0.8571428571428571</v>
      </c>
      <c r="P11" s="8">
        <v>1</v>
      </c>
      <c r="Q11" s="8" t="s">
        <v>173</v>
      </c>
      <c r="R11" s="8" t="s">
        <v>122</v>
      </c>
      <c r="T11" s="1" t="s">
        <v>217</v>
      </c>
      <c r="U11" s="1" t="s">
        <v>224</v>
      </c>
    </row>
    <row r="12" spans="1:24" x14ac:dyDescent="0.35">
      <c r="A12" s="8" t="s">
        <v>41</v>
      </c>
      <c r="B12" s="12">
        <v>44119</v>
      </c>
      <c r="C12" s="13">
        <f t="shared" ca="1" si="2"/>
        <v>7.639344262295082</v>
      </c>
      <c r="D12" s="8"/>
      <c r="E12" s="40" t="s">
        <v>163</v>
      </c>
      <c r="F12" s="8" t="s">
        <v>163</v>
      </c>
      <c r="G12" s="8" t="s">
        <v>31</v>
      </c>
      <c r="H12" s="8" t="s">
        <v>164</v>
      </c>
      <c r="I12" s="8" t="s">
        <v>66</v>
      </c>
      <c r="J12" s="8">
        <v>20</v>
      </c>
      <c r="K12" s="8">
        <v>1</v>
      </c>
      <c r="L12" s="8">
        <v>1</v>
      </c>
      <c r="M12" s="18">
        <f t="shared" si="0"/>
        <v>20</v>
      </c>
      <c r="N12" s="19">
        <f t="shared" si="1"/>
        <v>1</v>
      </c>
      <c r="O12" s="8">
        <f t="shared" si="3"/>
        <v>0.8571428571428571</v>
      </c>
      <c r="P12" s="8">
        <v>1</v>
      </c>
      <c r="Q12" s="8" t="s">
        <v>174</v>
      </c>
      <c r="R12" s="8" t="s">
        <v>130</v>
      </c>
      <c r="T12" s="1" t="s">
        <v>218</v>
      </c>
      <c r="U12" s="1" t="s">
        <v>224</v>
      </c>
    </row>
    <row r="13" spans="1:24" x14ac:dyDescent="0.35">
      <c r="A13" s="8" t="s">
        <v>46</v>
      </c>
      <c r="B13" s="12">
        <v>44150</v>
      </c>
      <c r="C13" s="13">
        <f t="shared" ca="1" si="2"/>
        <v>8.6557377049180335</v>
      </c>
      <c r="D13" s="8"/>
      <c r="E13" s="40" t="s">
        <v>30</v>
      </c>
      <c r="F13" s="8" t="s">
        <v>147</v>
      </c>
      <c r="G13" s="8" t="s">
        <v>31</v>
      </c>
      <c r="H13" s="8" t="s">
        <v>32</v>
      </c>
      <c r="I13" s="8" t="s">
        <v>16</v>
      </c>
      <c r="J13" s="8">
        <v>5000</v>
      </c>
      <c r="K13" s="8">
        <f>36.74</f>
        <v>36.74</v>
      </c>
      <c r="L13" s="8">
        <v>100</v>
      </c>
      <c r="M13" s="18">
        <f t="shared" si="0"/>
        <v>136.09145345672292</v>
      </c>
      <c r="N13" s="19">
        <f t="shared" si="1"/>
        <v>0.3674</v>
      </c>
      <c r="O13" s="8">
        <f>0.53+0.25</f>
        <v>0.78</v>
      </c>
      <c r="P13" s="8">
        <v>1</v>
      </c>
      <c r="Q13" s="8" t="s">
        <v>172</v>
      </c>
      <c r="R13" s="8" t="s">
        <v>120</v>
      </c>
      <c r="T13" s="1" t="s">
        <v>219</v>
      </c>
      <c r="U13" s="1" t="s">
        <v>224</v>
      </c>
    </row>
    <row r="14" spans="1:24" ht="15" customHeight="1" x14ac:dyDescent="0.35">
      <c r="A14" s="8" t="s">
        <v>6</v>
      </c>
      <c r="B14" s="12">
        <v>44180</v>
      </c>
      <c r="C14" s="13">
        <f t="shared" ca="1" si="2"/>
        <v>9.6393442622950811</v>
      </c>
      <c r="D14" s="8"/>
      <c r="E14" s="40" t="s">
        <v>33</v>
      </c>
      <c r="F14" s="8" t="s">
        <v>148</v>
      </c>
      <c r="G14" s="8" t="s">
        <v>31</v>
      </c>
      <c r="H14" s="8" t="s">
        <v>34</v>
      </c>
      <c r="I14" s="8" t="s">
        <v>16</v>
      </c>
      <c r="J14" s="8">
        <v>5000</v>
      </c>
      <c r="K14" s="8">
        <f>36.74</f>
        <v>36.74</v>
      </c>
      <c r="L14" s="8">
        <v>100</v>
      </c>
      <c r="M14" s="18">
        <f t="shared" si="0"/>
        <v>136.09145345672292</v>
      </c>
      <c r="N14" s="19">
        <f t="shared" si="1"/>
        <v>0.3674</v>
      </c>
      <c r="O14" s="8">
        <f>0.53+0.25</f>
        <v>0.78</v>
      </c>
      <c r="P14" s="8">
        <v>1</v>
      </c>
      <c r="Q14" s="8" t="s">
        <v>171</v>
      </c>
      <c r="R14" s="8" t="s">
        <v>120</v>
      </c>
      <c r="T14" s="1" t="s">
        <v>220</v>
      </c>
      <c r="U14" s="1" t="s">
        <v>224</v>
      </c>
    </row>
    <row r="15" spans="1:24" x14ac:dyDescent="0.35">
      <c r="A15" s="8" t="s">
        <v>51</v>
      </c>
      <c r="B15" s="12">
        <v>44211</v>
      </c>
      <c r="C15" s="13">
        <f t="shared" ca="1" si="2"/>
        <v>10.655737704918034</v>
      </c>
      <c r="D15" s="8"/>
      <c r="E15" s="40" t="s">
        <v>36</v>
      </c>
      <c r="F15" s="8" t="s">
        <v>149</v>
      </c>
      <c r="G15" s="8" t="s">
        <v>31</v>
      </c>
      <c r="H15" s="8" t="s">
        <v>37</v>
      </c>
      <c r="I15" s="8" t="s">
        <v>16</v>
      </c>
      <c r="J15" s="8">
        <v>5000</v>
      </c>
      <c r="K15" s="8">
        <f>36.74</f>
        <v>36.74</v>
      </c>
      <c r="L15" s="8">
        <v>100</v>
      </c>
      <c r="M15" s="18">
        <f t="shared" si="0"/>
        <v>136.09145345672292</v>
      </c>
      <c r="N15" s="19">
        <f t="shared" si="1"/>
        <v>0.3674</v>
      </c>
      <c r="O15" s="8">
        <f>0.53+0.25</f>
        <v>0.78</v>
      </c>
      <c r="P15" s="8">
        <v>1</v>
      </c>
      <c r="Q15" s="8" t="s">
        <v>171</v>
      </c>
      <c r="R15" s="8" t="s">
        <v>120</v>
      </c>
      <c r="T15" s="1" t="s">
        <v>221</v>
      </c>
      <c r="U15" s="1" t="s">
        <v>225</v>
      </c>
    </row>
    <row r="16" spans="1:24" x14ac:dyDescent="0.35">
      <c r="A16" s="8" t="s">
        <v>54</v>
      </c>
      <c r="B16" s="12">
        <v>44242</v>
      </c>
      <c r="C16" s="13">
        <f t="shared" ca="1" si="2"/>
        <v>11.672131147540984</v>
      </c>
      <c r="D16" s="8"/>
      <c r="E16" s="41" t="s">
        <v>39</v>
      </c>
      <c r="F16" s="23" t="s">
        <v>150</v>
      </c>
      <c r="G16" s="23" t="s">
        <v>31</v>
      </c>
      <c r="H16" s="23" t="s">
        <v>40</v>
      </c>
      <c r="I16" s="23" t="s">
        <v>16</v>
      </c>
      <c r="J16" s="23">
        <v>5000</v>
      </c>
      <c r="K16" s="23">
        <f>39.36</f>
        <v>39.36</v>
      </c>
      <c r="L16" s="23">
        <v>100</v>
      </c>
      <c r="M16" s="24">
        <f t="shared" si="0"/>
        <v>127.03252032520325</v>
      </c>
      <c r="N16" s="25">
        <f t="shared" si="1"/>
        <v>0.39360000000000001</v>
      </c>
      <c r="O16" s="23">
        <f>0.53+0.25</f>
        <v>0.78</v>
      </c>
      <c r="P16" s="23">
        <v>1</v>
      </c>
      <c r="Q16" s="23" t="s">
        <v>171</v>
      </c>
      <c r="R16" s="23" t="s">
        <v>120</v>
      </c>
      <c r="T16" s="1" t="s">
        <v>226</v>
      </c>
      <c r="U16" s="1" t="s">
        <v>225</v>
      </c>
    </row>
    <row r="17" spans="1:21" x14ac:dyDescent="0.35">
      <c r="A17" s="8" t="s">
        <v>57</v>
      </c>
      <c r="B17" s="12">
        <v>44270</v>
      </c>
      <c r="C17" s="13">
        <f t="shared" ca="1" si="2"/>
        <v>12.590163934426229</v>
      </c>
      <c r="D17" s="8"/>
      <c r="E17" s="40" t="s">
        <v>63</v>
      </c>
      <c r="F17" s="8" t="s">
        <v>63</v>
      </c>
      <c r="G17" s="8" t="s">
        <v>64</v>
      </c>
      <c r="H17" s="8" t="s">
        <v>65</v>
      </c>
      <c r="I17" s="8" t="s">
        <v>66</v>
      </c>
      <c r="J17" s="8">
        <v>1000</v>
      </c>
      <c r="K17" s="8">
        <v>7.33</v>
      </c>
      <c r="L17" s="8">
        <v>1</v>
      </c>
      <c r="M17" s="18">
        <f t="shared" si="0"/>
        <v>136.4256480218281</v>
      </c>
      <c r="N17" s="19">
        <f t="shared" si="1"/>
        <v>7.33</v>
      </c>
      <c r="O17" s="8">
        <f>0.25+0.57+0.3</f>
        <v>1.1199999999999999</v>
      </c>
      <c r="P17" s="8">
        <v>1</v>
      </c>
      <c r="Q17" s="8" t="s">
        <v>175</v>
      </c>
      <c r="R17" s="8" t="s">
        <v>120</v>
      </c>
      <c r="T17" s="1" t="s">
        <v>222</v>
      </c>
      <c r="U17" s="1" t="s">
        <v>223</v>
      </c>
    </row>
    <row r="18" spans="1:21" x14ac:dyDescent="0.35">
      <c r="A18" s="8" t="s">
        <v>61</v>
      </c>
      <c r="B18" s="12">
        <v>44301</v>
      </c>
      <c r="C18" s="13">
        <f t="shared" ca="1" si="2"/>
        <v>13.60655737704918</v>
      </c>
      <c r="D18" s="8"/>
      <c r="E18" s="40" t="s">
        <v>68</v>
      </c>
      <c r="F18" s="8" t="s">
        <v>68</v>
      </c>
      <c r="G18" s="8" t="s">
        <v>64</v>
      </c>
      <c r="H18" s="8" t="s">
        <v>69</v>
      </c>
      <c r="I18" s="8" t="s">
        <v>70</v>
      </c>
      <c r="J18" s="8">
        <v>1000</v>
      </c>
      <c r="K18" s="8">
        <v>7.33</v>
      </c>
      <c r="L18" s="8">
        <v>1</v>
      </c>
      <c r="M18" s="18">
        <f t="shared" si="0"/>
        <v>136.4256480218281</v>
      </c>
      <c r="N18" s="19">
        <f t="shared" si="1"/>
        <v>7.33</v>
      </c>
      <c r="O18" s="8">
        <f>0.25+0.57+0.3</f>
        <v>1.1199999999999999</v>
      </c>
      <c r="P18" s="8">
        <v>1</v>
      </c>
      <c r="Q18" s="8" t="s">
        <v>175</v>
      </c>
      <c r="R18" s="8" t="s">
        <v>120</v>
      </c>
    </row>
    <row r="19" spans="1:21" x14ac:dyDescent="0.35">
      <c r="A19" s="8" t="s">
        <v>62</v>
      </c>
      <c r="B19" s="12">
        <v>44331</v>
      </c>
      <c r="C19" s="13">
        <f t="shared" ca="1" si="2"/>
        <v>14.590163934426229</v>
      </c>
      <c r="D19" s="8"/>
      <c r="E19" s="40" t="s">
        <v>72</v>
      </c>
      <c r="F19" s="8" t="s">
        <v>72</v>
      </c>
      <c r="G19" s="8" t="s">
        <v>64</v>
      </c>
      <c r="H19" s="8" t="s">
        <v>73</v>
      </c>
      <c r="I19" s="8" t="s">
        <v>66</v>
      </c>
      <c r="J19" s="8">
        <v>100</v>
      </c>
      <c r="K19" s="8">
        <v>1</v>
      </c>
      <c r="L19" s="8">
        <v>1</v>
      </c>
      <c r="M19" s="18">
        <f t="shared" si="0"/>
        <v>100</v>
      </c>
      <c r="N19" s="19">
        <f t="shared" si="1"/>
        <v>1</v>
      </c>
      <c r="O19" s="8">
        <f t="shared" ref="O19:O21" si="5">0.25+0.57+0.3</f>
        <v>1.1199999999999999</v>
      </c>
      <c r="P19" s="8">
        <v>1</v>
      </c>
      <c r="Q19" s="8" t="s">
        <v>175</v>
      </c>
      <c r="R19" s="8" t="s">
        <v>120</v>
      </c>
    </row>
    <row r="20" spans="1:21" x14ac:dyDescent="0.35">
      <c r="A20" s="8" t="s">
        <v>67</v>
      </c>
      <c r="B20" s="12">
        <v>44362</v>
      </c>
      <c r="C20" s="13">
        <f t="shared" ca="1" si="2"/>
        <v>15.60655737704918</v>
      </c>
      <c r="D20" s="8"/>
      <c r="E20" s="40" t="s">
        <v>75</v>
      </c>
      <c r="F20" s="8" t="s">
        <v>75</v>
      </c>
      <c r="G20" s="8" t="s">
        <v>64</v>
      </c>
      <c r="H20" s="8" t="s">
        <v>76</v>
      </c>
      <c r="I20" s="8" t="s">
        <v>70</v>
      </c>
      <c r="J20" s="8">
        <v>42000</v>
      </c>
      <c r="K20" s="8">
        <v>315</v>
      </c>
      <c r="L20" s="8">
        <v>100</v>
      </c>
      <c r="M20" s="18">
        <f t="shared" si="0"/>
        <v>133.33333333333334</v>
      </c>
      <c r="N20" s="19">
        <f t="shared" si="1"/>
        <v>3.15</v>
      </c>
      <c r="O20" s="8">
        <f t="shared" si="5"/>
        <v>1.1199999999999999</v>
      </c>
      <c r="P20" s="8">
        <v>1</v>
      </c>
      <c r="Q20" s="8" t="s">
        <v>175</v>
      </c>
      <c r="R20" s="8" t="s">
        <v>120</v>
      </c>
    </row>
    <row r="21" spans="1:21" x14ac:dyDescent="0.35">
      <c r="A21" s="8" t="s">
        <v>71</v>
      </c>
      <c r="B21" s="12">
        <v>44392</v>
      </c>
      <c r="C21" s="13">
        <f t="shared" ca="1" si="2"/>
        <v>16.590163934426229</v>
      </c>
      <c r="D21" s="8"/>
      <c r="E21" s="41" t="s">
        <v>78</v>
      </c>
      <c r="F21" s="23" t="s">
        <v>78</v>
      </c>
      <c r="G21" s="23" t="s">
        <v>64</v>
      </c>
      <c r="H21" s="23" t="s">
        <v>79</v>
      </c>
      <c r="I21" s="23" t="s">
        <v>70</v>
      </c>
      <c r="J21" s="23">
        <v>42000</v>
      </c>
      <c r="K21" s="23">
        <v>355</v>
      </c>
      <c r="L21" s="23">
        <v>100</v>
      </c>
      <c r="M21" s="24">
        <f t="shared" si="0"/>
        <v>118.30985915492958</v>
      </c>
      <c r="N21" s="25">
        <f t="shared" si="1"/>
        <v>3.55</v>
      </c>
      <c r="O21" s="23">
        <f t="shared" si="5"/>
        <v>1.1199999999999999</v>
      </c>
      <c r="P21" s="23">
        <v>1</v>
      </c>
      <c r="Q21" s="23" t="s">
        <v>175</v>
      </c>
      <c r="R21" s="23" t="s">
        <v>120</v>
      </c>
    </row>
    <row r="22" spans="1:21" x14ac:dyDescent="0.35">
      <c r="A22" s="8" t="s">
        <v>74</v>
      </c>
      <c r="B22" s="12">
        <v>44423</v>
      </c>
      <c r="C22" s="13">
        <f t="shared" ca="1" si="2"/>
        <v>17.606557377049182</v>
      </c>
      <c r="D22" s="8"/>
      <c r="E22" s="40" t="s">
        <v>93</v>
      </c>
      <c r="F22" s="8" t="s">
        <v>93</v>
      </c>
      <c r="G22" s="8" t="s">
        <v>94</v>
      </c>
      <c r="H22" s="8" t="s">
        <v>95</v>
      </c>
      <c r="I22" s="8" t="s">
        <v>66</v>
      </c>
      <c r="J22" s="8">
        <v>50000</v>
      </c>
      <c r="K22" s="8">
        <v>2204.62</v>
      </c>
      <c r="L22" s="8">
        <v>100</v>
      </c>
      <c r="M22" s="18">
        <f t="shared" si="0"/>
        <v>22.679645471781985</v>
      </c>
      <c r="N22" s="19">
        <f t="shared" si="1"/>
        <v>22.046199999999999</v>
      </c>
      <c r="O22" s="8">
        <f>0.8+0.3</f>
        <v>1.1000000000000001</v>
      </c>
      <c r="P22" s="8">
        <v>1</v>
      </c>
      <c r="Q22" s="8" t="s">
        <v>176</v>
      </c>
      <c r="R22" s="8" t="s">
        <v>120</v>
      </c>
    </row>
    <row r="23" spans="1:21" x14ac:dyDescent="0.35">
      <c r="A23" s="8" t="s">
        <v>77</v>
      </c>
      <c r="B23" s="12">
        <v>44454</v>
      </c>
      <c r="C23" s="13">
        <f t="shared" ca="1" si="2"/>
        <v>18.622950819672131</v>
      </c>
      <c r="D23" s="8"/>
      <c r="E23" s="40" t="s">
        <v>97</v>
      </c>
      <c r="F23" s="8" t="s">
        <v>30</v>
      </c>
      <c r="G23" s="8" t="s">
        <v>94</v>
      </c>
      <c r="H23" s="8" t="s">
        <v>98</v>
      </c>
      <c r="I23" s="8" t="s">
        <v>70</v>
      </c>
      <c r="J23" s="8">
        <v>112000</v>
      </c>
      <c r="K23" s="8">
        <v>2204.62</v>
      </c>
      <c r="L23" s="8">
        <v>100</v>
      </c>
      <c r="M23" s="18">
        <f t="shared" si="0"/>
        <v>50.802405856791651</v>
      </c>
      <c r="N23" s="19">
        <f t="shared" si="1"/>
        <v>22.046199999999999</v>
      </c>
      <c r="O23" s="8">
        <f t="shared" ref="O23:O27" si="6">0.8+0.3</f>
        <v>1.1000000000000001</v>
      </c>
      <c r="P23" s="8">
        <v>1</v>
      </c>
      <c r="Q23" s="8" t="s">
        <v>176</v>
      </c>
      <c r="R23" s="8" t="s">
        <v>120</v>
      </c>
    </row>
    <row r="24" spans="1:21" x14ac:dyDescent="0.35">
      <c r="A24" s="8" t="s">
        <v>80</v>
      </c>
      <c r="B24" s="12">
        <v>44484</v>
      </c>
      <c r="C24" s="13">
        <f t="shared" ca="1" si="2"/>
        <v>19.606557377049182</v>
      </c>
      <c r="D24" s="8"/>
      <c r="E24" s="40" t="s">
        <v>160</v>
      </c>
      <c r="F24" s="8" t="s">
        <v>160</v>
      </c>
      <c r="G24" s="8" t="s">
        <v>94</v>
      </c>
      <c r="H24" s="8" t="s">
        <v>159</v>
      </c>
      <c r="I24" s="8" t="s">
        <v>66</v>
      </c>
      <c r="J24" s="8">
        <v>50</v>
      </c>
      <c r="K24" s="8">
        <v>1</v>
      </c>
      <c r="L24" s="8">
        <v>1</v>
      </c>
      <c r="M24" s="18">
        <f t="shared" si="0"/>
        <v>50</v>
      </c>
      <c r="N24" s="19">
        <f t="shared" si="1"/>
        <v>1</v>
      </c>
      <c r="O24" s="8">
        <f t="shared" si="6"/>
        <v>1.1000000000000001</v>
      </c>
      <c r="P24" s="8">
        <v>1</v>
      </c>
      <c r="Q24" s="8" t="s">
        <v>176</v>
      </c>
      <c r="R24" s="8" t="s">
        <v>120</v>
      </c>
    </row>
    <row r="25" spans="1:21" x14ac:dyDescent="0.35">
      <c r="A25" s="8" t="s">
        <v>81</v>
      </c>
      <c r="B25" s="12">
        <v>44515</v>
      </c>
      <c r="C25" s="13">
        <f t="shared" ca="1" si="2"/>
        <v>20.622950819672131</v>
      </c>
      <c r="D25" s="8"/>
      <c r="E25" s="41" t="s">
        <v>103</v>
      </c>
      <c r="F25" s="23" t="s">
        <v>103</v>
      </c>
      <c r="G25" s="23" t="s">
        <v>94</v>
      </c>
      <c r="H25" s="23" t="s">
        <v>104</v>
      </c>
      <c r="I25" s="23" t="s">
        <v>20</v>
      </c>
      <c r="J25" s="23">
        <v>40000</v>
      </c>
      <c r="K25" s="23">
        <v>2204.62</v>
      </c>
      <c r="L25" s="23">
        <v>100</v>
      </c>
      <c r="M25" s="24">
        <f t="shared" si="0"/>
        <v>18.143716377425591</v>
      </c>
      <c r="N25" s="25">
        <f t="shared" si="1"/>
        <v>22.046199999999999</v>
      </c>
      <c r="O25" s="23">
        <f t="shared" si="6"/>
        <v>1.1000000000000001</v>
      </c>
      <c r="P25" s="23">
        <v>1</v>
      </c>
      <c r="Q25" s="23" t="s">
        <v>175</v>
      </c>
      <c r="R25" s="23" t="s">
        <v>120</v>
      </c>
    </row>
    <row r="26" spans="1:21" x14ac:dyDescent="0.35">
      <c r="A26" s="8" t="s">
        <v>84</v>
      </c>
      <c r="B26" s="12">
        <v>44545</v>
      </c>
      <c r="C26" s="13">
        <f t="shared" ca="1" si="2"/>
        <v>21.606557377049182</v>
      </c>
      <c r="D26" s="8"/>
      <c r="E26" s="40" t="s">
        <v>107</v>
      </c>
      <c r="F26" s="8" t="s">
        <v>107</v>
      </c>
      <c r="G26" s="8" t="s">
        <v>108</v>
      </c>
      <c r="H26" s="8" t="s">
        <v>109</v>
      </c>
      <c r="I26" s="8" t="s">
        <v>20</v>
      </c>
      <c r="J26" s="8">
        <v>100</v>
      </c>
      <c r="K26" s="8">
        <v>32150</v>
      </c>
      <c r="L26" s="8">
        <v>1</v>
      </c>
      <c r="M26" s="18">
        <f t="shared" si="0"/>
        <v>3.1104199066874028E-3</v>
      </c>
      <c r="N26" s="19">
        <f t="shared" si="1"/>
        <v>32150</v>
      </c>
      <c r="O26" s="8">
        <f t="shared" si="6"/>
        <v>1.1000000000000001</v>
      </c>
      <c r="P26" s="8">
        <v>1</v>
      </c>
      <c r="Q26" s="8" t="s">
        <v>175</v>
      </c>
      <c r="R26" s="8" t="s">
        <v>120</v>
      </c>
    </row>
    <row r="27" spans="1:21" x14ac:dyDescent="0.35">
      <c r="A27" s="8" t="s">
        <v>88</v>
      </c>
      <c r="B27" s="12">
        <v>44576</v>
      </c>
      <c r="C27" s="13">
        <f t="shared" ca="1" si="2"/>
        <v>22.622950819672131</v>
      </c>
      <c r="D27" s="8"/>
      <c r="E27" s="40" t="s">
        <v>111</v>
      </c>
      <c r="F27" s="8" t="s">
        <v>111</v>
      </c>
      <c r="G27" s="8" t="s">
        <v>108</v>
      </c>
      <c r="H27" s="8" t="s">
        <v>112</v>
      </c>
      <c r="I27" s="8" t="s">
        <v>20</v>
      </c>
      <c r="J27" s="8">
        <v>5000</v>
      </c>
      <c r="K27" s="8">
        <v>32150</v>
      </c>
      <c r="L27" s="8">
        <v>1</v>
      </c>
      <c r="M27" s="18">
        <f t="shared" si="0"/>
        <v>0.15552099533437014</v>
      </c>
      <c r="N27" s="19">
        <f t="shared" si="1"/>
        <v>32150</v>
      </c>
      <c r="O27" s="8">
        <f t="shared" si="6"/>
        <v>1.1000000000000001</v>
      </c>
      <c r="P27" s="8">
        <v>1</v>
      </c>
      <c r="Q27" s="8" t="s">
        <v>175</v>
      </c>
      <c r="R27" s="8" t="s">
        <v>120</v>
      </c>
    </row>
    <row r="28" spans="1:21" x14ac:dyDescent="0.35">
      <c r="A28" s="8" t="s">
        <v>91</v>
      </c>
      <c r="B28" s="12">
        <v>44607</v>
      </c>
      <c r="C28" s="13">
        <f t="shared" ca="1" si="2"/>
        <v>23.639344262295083</v>
      </c>
      <c r="D28" s="8"/>
      <c r="E28" s="40" t="s">
        <v>114</v>
      </c>
      <c r="F28" s="8" t="s">
        <v>152</v>
      </c>
      <c r="G28" s="8" t="s">
        <v>115</v>
      </c>
      <c r="H28" s="8" t="s">
        <v>116</v>
      </c>
      <c r="I28" s="8" t="s">
        <v>45</v>
      </c>
      <c r="J28" s="8">
        <v>100</v>
      </c>
      <c r="K28" s="8">
        <v>1</v>
      </c>
      <c r="L28" s="8">
        <v>1</v>
      </c>
      <c r="M28" s="18">
        <f t="shared" si="0"/>
        <v>100</v>
      </c>
      <c r="N28" s="19">
        <f t="shared" si="1"/>
        <v>1</v>
      </c>
      <c r="O28" s="8">
        <f t="shared" ref="O28:O29" si="7">6/7</f>
        <v>0.8571428571428571</v>
      </c>
      <c r="P28" s="8">
        <v>1</v>
      </c>
      <c r="Q28" s="8" t="s">
        <v>173</v>
      </c>
      <c r="R28" s="8" t="s">
        <v>122</v>
      </c>
    </row>
    <row r="29" spans="1:21" x14ac:dyDescent="0.35">
      <c r="A29" s="8" t="s">
        <v>92</v>
      </c>
      <c r="B29" s="12">
        <v>44635</v>
      </c>
      <c r="C29" s="13">
        <f t="shared" ca="1" si="2"/>
        <v>24.557377049180328</v>
      </c>
      <c r="D29" s="8"/>
      <c r="E29" s="41" t="s">
        <v>118</v>
      </c>
      <c r="F29" s="23" t="s">
        <v>153</v>
      </c>
      <c r="G29" s="23" t="s">
        <v>115</v>
      </c>
      <c r="H29" s="23" t="s">
        <v>119</v>
      </c>
      <c r="I29" s="23" t="s">
        <v>45</v>
      </c>
      <c r="J29" s="23">
        <v>100</v>
      </c>
      <c r="K29" s="23">
        <v>1</v>
      </c>
      <c r="L29" s="23">
        <v>1</v>
      </c>
      <c r="M29" s="24">
        <f t="shared" si="0"/>
        <v>100</v>
      </c>
      <c r="N29" s="25">
        <f t="shared" si="1"/>
        <v>1</v>
      </c>
      <c r="O29" s="23">
        <f t="shared" si="7"/>
        <v>0.8571428571428571</v>
      </c>
      <c r="P29" s="23">
        <v>1</v>
      </c>
      <c r="Q29" s="23" t="s">
        <v>173</v>
      </c>
      <c r="R29" s="23" t="s">
        <v>122</v>
      </c>
    </row>
    <row r="30" spans="1:21" x14ac:dyDescent="0.35">
      <c r="A30" s="8" t="s">
        <v>96</v>
      </c>
      <c r="B30" s="12">
        <v>44666</v>
      </c>
      <c r="C30" s="13">
        <f t="shared" ca="1" si="2"/>
        <v>25.57377049180328</v>
      </c>
      <c r="D30" s="8"/>
      <c r="E30" s="73" t="s">
        <v>284</v>
      </c>
      <c r="F30" s="8"/>
      <c r="G30" s="8" t="s">
        <v>14</v>
      </c>
      <c r="H30" s="14" t="s">
        <v>289</v>
      </c>
      <c r="I30" s="8" t="s">
        <v>16</v>
      </c>
      <c r="J30" s="8"/>
      <c r="K30" s="8"/>
      <c r="L30" s="8"/>
      <c r="M30" s="8"/>
      <c r="N30" s="8"/>
      <c r="O30" s="8"/>
      <c r="P30" s="15" t="s">
        <v>44</v>
      </c>
      <c r="Q30" s="130"/>
      <c r="R30" s="130"/>
    </row>
    <row r="31" spans="1:21" x14ac:dyDescent="0.35">
      <c r="A31" s="8" t="s">
        <v>99</v>
      </c>
      <c r="B31" s="12">
        <v>44696</v>
      </c>
      <c r="C31" s="13">
        <f t="shared" ca="1" si="2"/>
        <v>26.557377049180328</v>
      </c>
      <c r="D31" s="8"/>
      <c r="E31" s="73" t="s">
        <v>58</v>
      </c>
      <c r="F31" s="8"/>
      <c r="G31" s="8" t="s">
        <v>14</v>
      </c>
      <c r="H31" s="14" t="s">
        <v>59</v>
      </c>
      <c r="I31" s="16" t="s">
        <v>16</v>
      </c>
      <c r="J31" s="16"/>
      <c r="K31" s="16"/>
      <c r="L31" s="16"/>
      <c r="M31" s="16"/>
      <c r="N31" s="16"/>
      <c r="O31" s="16"/>
      <c r="P31" s="16" t="s">
        <v>60</v>
      </c>
      <c r="Q31" s="130"/>
      <c r="R31" s="130"/>
    </row>
    <row r="32" spans="1:21" x14ac:dyDescent="0.35">
      <c r="A32" s="8" t="s">
        <v>100</v>
      </c>
      <c r="B32" s="12">
        <v>44727</v>
      </c>
      <c r="C32" s="13">
        <f t="shared" ca="1" si="2"/>
        <v>27.57377049180328</v>
      </c>
      <c r="D32" s="8"/>
      <c r="E32" s="73" t="s">
        <v>42</v>
      </c>
      <c r="F32" s="8"/>
      <c r="G32" s="8" t="s">
        <v>14</v>
      </c>
      <c r="H32" s="14" t="s">
        <v>43</v>
      </c>
      <c r="I32" s="15" t="s">
        <v>16</v>
      </c>
      <c r="J32" s="15"/>
      <c r="K32" s="15"/>
      <c r="L32" s="15"/>
      <c r="M32" s="15"/>
      <c r="N32" s="15"/>
      <c r="O32" s="15"/>
      <c r="P32" s="15" t="s">
        <v>44</v>
      </c>
      <c r="Q32" s="130"/>
      <c r="R32" s="130"/>
    </row>
    <row r="33" spans="1:18" x14ac:dyDescent="0.35">
      <c r="A33" s="8" t="s">
        <v>102</v>
      </c>
      <c r="B33" s="12">
        <v>44757</v>
      </c>
      <c r="C33" s="13">
        <f t="shared" ca="1" si="2"/>
        <v>28.557377049180328</v>
      </c>
      <c r="D33" s="8"/>
      <c r="E33" s="73" t="s">
        <v>282</v>
      </c>
      <c r="F33" s="8"/>
      <c r="G33" s="8" t="s">
        <v>14</v>
      </c>
      <c r="H33" s="14" t="s">
        <v>283</v>
      </c>
      <c r="I33" s="15" t="s">
        <v>288</v>
      </c>
      <c r="J33" s="15"/>
      <c r="K33" s="15"/>
      <c r="L33" s="15"/>
      <c r="M33" s="15"/>
      <c r="N33" s="15"/>
      <c r="O33" s="15"/>
      <c r="P33" s="15" t="s">
        <v>44</v>
      </c>
      <c r="Q33" s="130"/>
      <c r="R33" s="130"/>
    </row>
    <row r="34" spans="1:18" x14ac:dyDescent="0.35">
      <c r="A34" s="8" t="s">
        <v>105</v>
      </c>
      <c r="B34" s="12">
        <v>44788</v>
      </c>
      <c r="C34" s="13">
        <f t="shared" ca="1" si="2"/>
        <v>29.57377049180328</v>
      </c>
      <c r="D34" s="8"/>
      <c r="E34" s="96" t="s">
        <v>47</v>
      </c>
      <c r="F34" s="23"/>
      <c r="G34" s="23" t="s">
        <v>14</v>
      </c>
      <c r="H34" s="97" t="s">
        <v>48</v>
      </c>
      <c r="I34" s="98" t="s">
        <v>292</v>
      </c>
      <c r="J34" s="98"/>
      <c r="K34" s="98"/>
      <c r="L34" s="98"/>
      <c r="M34" s="98"/>
      <c r="N34" s="98"/>
      <c r="O34" s="98"/>
      <c r="P34" s="98" t="s">
        <v>44</v>
      </c>
      <c r="Q34" s="131"/>
      <c r="R34" s="131"/>
    </row>
    <row r="35" spans="1:18" x14ac:dyDescent="0.35">
      <c r="A35" s="8" t="s">
        <v>106</v>
      </c>
      <c r="B35" s="12">
        <v>44819</v>
      </c>
      <c r="C35" s="13">
        <f t="shared" ca="1" si="2"/>
        <v>30.590163934426229</v>
      </c>
      <c r="D35" s="8"/>
      <c r="E35" s="73" t="s">
        <v>49</v>
      </c>
      <c r="F35" s="8"/>
      <c r="G35" s="8" t="s">
        <v>31</v>
      </c>
      <c r="H35" s="14" t="s">
        <v>50</v>
      </c>
      <c r="I35" s="15" t="s">
        <v>16</v>
      </c>
      <c r="J35" s="15"/>
      <c r="K35" s="15"/>
      <c r="L35" s="15"/>
      <c r="M35" s="15"/>
      <c r="N35" s="15"/>
      <c r="O35" s="15"/>
      <c r="P35" s="15" t="s">
        <v>44</v>
      </c>
      <c r="Q35" s="130"/>
      <c r="R35" s="130"/>
    </row>
    <row r="36" spans="1:18" x14ac:dyDescent="0.35">
      <c r="A36" s="8" t="s">
        <v>110</v>
      </c>
      <c r="B36" s="12">
        <v>44849</v>
      </c>
      <c r="C36" s="13">
        <f t="shared" ca="1" si="2"/>
        <v>31.57377049180328</v>
      </c>
      <c r="D36" s="8"/>
      <c r="E36" s="73" t="s">
        <v>52</v>
      </c>
      <c r="F36" s="8"/>
      <c r="G36" s="8" t="s">
        <v>31</v>
      </c>
      <c r="H36" s="14" t="s">
        <v>53</v>
      </c>
      <c r="I36" s="8" t="s">
        <v>16</v>
      </c>
      <c r="J36" s="8"/>
      <c r="K36" s="8"/>
      <c r="L36" s="8"/>
      <c r="M36" s="8"/>
      <c r="N36" s="8"/>
      <c r="O36" s="8"/>
      <c r="P36" s="15" t="s">
        <v>44</v>
      </c>
      <c r="Q36" s="130"/>
      <c r="R36" s="130"/>
    </row>
    <row r="37" spans="1:18" x14ac:dyDescent="0.35">
      <c r="A37" s="8" t="s">
        <v>113</v>
      </c>
      <c r="B37" s="12">
        <v>44880</v>
      </c>
      <c r="C37" s="13">
        <f t="shared" ca="1" si="2"/>
        <v>32.590163934426229</v>
      </c>
      <c r="D37" s="8"/>
      <c r="E37" s="73" t="s">
        <v>55</v>
      </c>
      <c r="F37" s="8"/>
      <c r="G37" s="8" t="s">
        <v>31</v>
      </c>
      <c r="H37" s="14" t="s">
        <v>56</v>
      </c>
      <c r="I37" s="15" t="s">
        <v>16</v>
      </c>
      <c r="J37" s="15"/>
      <c r="K37" s="15"/>
      <c r="L37" s="15"/>
      <c r="M37" s="15"/>
      <c r="N37" s="15"/>
      <c r="O37" s="15"/>
      <c r="P37" s="15" t="s">
        <v>44</v>
      </c>
      <c r="Q37" s="130"/>
      <c r="R37" s="130"/>
    </row>
    <row r="38" spans="1:18" x14ac:dyDescent="0.35">
      <c r="A38" s="8" t="s">
        <v>117</v>
      </c>
      <c r="B38" s="12">
        <v>44910</v>
      </c>
      <c r="C38" s="13">
        <f t="shared" ca="1" si="2"/>
        <v>33.57377049180328</v>
      </c>
      <c r="D38" s="8"/>
      <c r="E38" s="96" t="s">
        <v>286</v>
      </c>
      <c r="F38" s="33"/>
      <c r="G38" s="23" t="s">
        <v>31</v>
      </c>
      <c r="H38" s="97" t="s">
        <v>287</v>
      </c>
      <c r="I38" s="99" t="s">
        <v>288</v>
      </c>
      <c r="J38" s="33"/>
      <c r="K38" s="33"/>
      <c r="L38" s="33"/>
      <c r="M38" s="33"/>
      <c r="N38" s="33"/>
      <c r="O38" s="33"/>
      <c r="P38" s="33"/>
      <c r="Q38" s="131"/>
      <c r="R38" s="131"/>
    </row>
    <row r="39" spans="1:18" x14ac:dyDescent="0.35">
      <c r="A39" s="8" t="s">
        <v>120</v>
      </c>
      <c r="B39" s="8"/>
      <c r="C39" s="8">
        <v>0</v>
      </c>
      <c r="D39" s="8"/>
      <c r="E39" s="73" t="s">
        <v>82</v>
      </c>
      <c r="F39" s="8"/>
      <c r="G39" s="8" t="s">
        <v>64</v>
      </c>
      <c r="H39" s="14" t="s">
        <v>83</v>
      </c>
      <c r="I39" s="15" t="s">
        <v>66</v>
      </c>
      <c r="J39" s="15"/>
      <c r="K39" s="15"/>
      <c r="L39" s="15"/>
      <c r="M39" s="15"/>
      <c r="N39" s="15"/>
      <c r="O39" s="15"/>
      <c r="P39" s="15" t="s">
        <v>44</v>
      </c>
      <c r="Q39" s="130"/>
      <c r="R39" s="130"/>
    </row>
    <row r="40" spans="1:18" x14ac:dyDescent="0.35">
      <c r="A40" s="8" t="s">
        <v>122</v>
      </c>
      <c r="B40" s="8"/>
      <c r="C40" s="8">
        <v>0</v>
      </c>
      <c r="D40" s="8"/>
      <c r="E40" s="73" t="s">
        <v>85</v>
      </c>
      <c r="F40" s="8"/>
      <c r="G40" s="8" t="s">
        <v>64</v>
      </c>
      <c r="H40" s="14" t="s">
        <v>86</v>
      </c>
      <c r="I40" s="15" t="s">
        <v>66</v>
      </c>
      <c r="J40" s="15"/>
      <c r="K40" s="15"/>
      <c r="L40" s="15"/>
      <c r="M40" s="15"/>
      <c r="N40" s="15"/>
      <c r="O40" s="15"/>
      <c r="P40" s="15" t="s">
        <v>87</v>
      </c>
      <c r="Q40" s="130"/>
      <c r="R40" s="130"/>
    </row>
    <row r="41" spans="1:18" x14ac:dyDescent="0.35">
      <c r="A41" s="8" t="s">
        <v>129</v>
      </c>
      <c r="B41" s="8"/>
      <c r="C41" s="8">
        <v>0</v>
      </c>
      <c r="D41" s="8"/>
      <c r="E41" s="96" t="s">
        <v>89</v>
      </c>
      <c r="F41" s="23"/>
      <c r="G41" s="23" t="s">
        <v>64</v>
      </c>
      <c r="H41" s="97" t="s">
        <v>90</v>
      </c>
      <c r="I41" s="98" t="s">
        <v>66</v>
      </c>
      <c r="J41" s="98"/>
      <c r="K41" s="98"/>
      <c r="L41" s="98"/>
      <c r="M41" s="98"/>
      <c r="N41" s="98"/>
      <c r="O41" s="98"/>
      <c r="P41" s="98" t="s">
        <v>44</v>
      </c>
      <c r="Q41" s="131"/>
      <c r="R41" s="131"/>
    </row>
    <row r="42" spans="1:18" x14ac:dyDescent="0.35">
      <c r="A42" s="8" t="s">
        <v>130</v>
      </c>
      <c r="B42" s="8"/>
      <c r="C42" s="8">
        <v>0</v>
      </c>
      <c r="D42" s="8"/>
      <c r="E42" s="100" t="s">
        <v>290</v>
      </c>
      <c r="F42" s="101"/>
      <c r="G42" s="102" t="s">
        <v>94</v>
      </c>
      <c r="H42" s="103" t="s">
        <v>291</v>
      </c>
      <c r="I42" s="104" t="s">
        <v>66</v>
      </c>
      <c r="J42" s="101"/>
      <c r="K42" s="101"/>
      <c r="L42" s="101"/>
      <c r="M42" s="101"/>
      <c r="N42" s="101"/>
      <c r="O42" s="101"/>
      <c r="P42" s="105" t="s">
        <v>44</v>
      </c>
      <c r="Q42" s="169"/>
      <c r="R42" s="169"/>
    </row>
    <row r="43" spans="1:18" x14ac:dyDescent="0.35">
      <c r="A43" s="8" t="s">
        <v>123</v>
      </c>
      <c r="B43" s="8"/>
      <c r="C43" s="8">
        <v>0</v>
      </c>
      <c r="D43" s="8"/>
      <c r="E43" s="100" t="s">
        <v>121</v>
      </c>
      <c r="F43" s="101"/>
      <c r="G43" s="102" t="s">
        <v>108</v>
      </c>
      <c r="H43" s="103" t="s">
        <v>285</v>
      </c>
      <c r="I43" s="104" t="s">
        <v>20</v>
      </c>
      <c r="J43" s="101"/>
      <c r="K43" s="101"/>
      <c r="L43" s="101"/>
      <c r="M43" s="101"/>
      <c r="N43" s="101"/>
      <c r="O43" s="101"/>
      <c r="P43" s="105" t="s">
        <v>44</v>
      </c>
      <c r="Q43" s="169"/>
      <c r="R43" s="169"/>
    </row>
    <row r="44" spans="1:18" x14ac:dyDescent="0.35">
      <c r="A44" s="8"/>
      <c r="B44" s="8"/>
      <c r="C44" s="8"/>
      <c r="D44" s="8"/>
      <c r="Q44" s="130"/>
      <c r="R44" s="130"/>
    </row>
    <row r="45" spans="1:18" x14ac:dyDescent="0.35">
      <c r="A45" s="8"/>
      <c r="B45" s="8"/>
      <c r="C45" s="8"/>
      <c r="D45" s="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4</vt:i4>
      </vt:variant>
    </vt:vector>
  </HeadingPairs>
  <TitlesOfParts>
    <vt:vector size="12" baseType="lpstr">
      <vt:lpstr>reuters</vt:lpstr>
      <vt:lpstr>pricedata</vt:lpstr>
      <vt:lpstr>logs</vt:lpstr>
      <vt:lpstr>positions</vt:lpstr>
      <vt:lpstr>p&amp;l</vt:lpstr>
      <vt:lpstr>risk</vt:lpstr>
      <vt:lpstr>assumptions</vt:lpstr>
      <vt:lpstr>conventions</vt:lpstr>
      <vt:lpstr>exchange</vt:lpstr>
      <vt:lpstr>factor</vt:lpstr>
      <vt:lpstr>reuters!realtimepx</vt:lpstr>
      <vt:lpstr>realtimepx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Chung</dc:creator>
  <cp:lastModifiedBy>Chung Jean</cp:lastModifiedBy>
  <dcterms:created xsi:type="dcterms:W3CDTF">2020-02-23T10:14:11Z</dcterms:created>
  <dcterms:modified xsi:type="dcterms:W3CDTF">2020-02-25T08:33:46Z</dcterms:modified>
</cp:coreProperties>
</file>