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inliveudlap-my.sharepoint.com/personal/heriberto_espinomo_udlap_mx/Documents/Universidad/09 Semestre Otoño/Coursera/Financial Engeneering &amp; Risk Managment/material/"/>
    </mc:Choice>
  </mc:AlternateContent>
  <xr:revisionPtr revIDLastSave="527" documentId="8_{05DC02FF-3234-482E-8592-03E227539529}" xr6:coauthVersionLast="47" xr6:coauthVersionMax="47" xr10:uidLastSave="{DE45FC7A-C17C-488E-A3A6-F692DD628C57}"/>
  <bookViews>
    <workbookView xWindow="12710" yWindow="0" windowWidth="12980" windowHeight="16090" firstSheet="1" activeTab="1" xr2:uid="{00000000-000D-0000-FFFF-FFFF00000000}"/>
  </bookViews>
  <sheets>
    <sheet name="EuropeanCall_EG" sheetId="4" r:id="rId1"/>
    <sheet name="OptionsOnFuturesEG" sheetId="6" r:id="rId2"/>
  </sheets>
  <definedNames>
    <definedName name="FuturesLattice" localSheetId="1">OptionsOnFuturesEG!$A$40:$N$52</definedName>
    <definedName name="FuturesLattice">#REF!</definedName>
    <definedName name="FuturesOptionLattice" localSheetId="1">OptionsOnFuturesEG!$A$61:$N$73</definedName>
    <definedName name="FuturesOptionLattice">#REF!</definedName>
    <definedName name="OptionLattice" localSheetId="0">EuropeanCall_EG!$A$22:$G$28</definedName>
    <definedName name="OptionLattice" localSheetId="1">OptionsOnFuturesEG!#REF!</definedName>
    <definedName name="OptionLattice">#REF!</definedName>
    <definedName name="StockLattice" localSheetId="0">EuropeanCall_EG!$A$13:$G$19</definedName>
    <definedName name="StockLattice" localSheetId="1">OptionsOnFuturesEG!#REF!</definedName>
    <definedName name="StockLattice">#REF!</definedName>
    <definedName name="StockLattice_2" localSheetId="1">OptionsOnFuturesEG!$A$20:$N$32</definedName>
    <definedName name="StockLattice_2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2" i="6" l="1"/>
  <c r="Q72" i="6"/>
  <c r="Q66" i="6"/>
  <c r="C9" i="6" l="1"/>
  <c r="B8" i="4"/>
  <c r="E17" i="4"/>
  <c r="E26" i="4"/>
  <c r="B9" i="4"/>
  <c r="E16" i="4"/>
  <c r="E25" i="4"/>
  <c r="B10" i="4"/>
  <c r="D26" i="4"/>
  <c r="E15" i="4"/>
  <c r="E24" i="4"/>
  <c r="D25" i="4"/>
  <c r="C26" i="4"/>
  <c r="E14" i="4"/>
  <c r="E23" i="4"/>
  <c r="D24" i="4"/>
  <c r="C25" i="4"/>
  <c r="B26" i="4"/>
  <c r="D17" i="4"/>
  <c r="C17" i="4"/>
  <c r="B17" i="4"/>
  <c r="D16" i="4"/>
  <c r="C16" i="4"/>
  <c r="D15" i="4"/>
  <c r="C10" i="6" l="1"/>
  <c r="Q30" i="6" l="1"/>
  <c r="Q50" i="6" s="1"/>
  <c r="Q71" i="6" s="1"/>
  <c r="C11" i="6"/>
  <c r="L21" i="6"/>
  <c r="L41" i="6" s="1"/>
  <c r="L24" i="6"/>
  <c r="O30" i="6"/>
  <c r="L27" i="6"/>
  <c r="M21" i="6"/>
  <c r="N29" i="6"/>
  <c r="P26" i="6"/>
  <c r="N23" i="6"/>
  <c r="P27" i="6"/>
  <c r="O26" i="6"/>
  <c r="K30" i="6"/>
  <c r="O20" i="6"/>
  <c r="N24" i="6"/>
  <c r="Q24" i="6"/>
  <c r="Q44" i="6" s="1"/>
  <c r="P17" i="6"/>
  <c r="M27" i="6"/>
  <c r="O21" i="6"/>
  <c r="O29" i="6"/>
  <c r="P30" i="6"/>
  <c r="O23" i="6"/>
  <c r="K28" i="6"/>
  <c r="M30" i="6"/>
  <c r="K31" i="6"/>
  <c r="Q20" i="6"/>
  <c r="Q40" i="6" s="1"/>
  <c r="O24" i="6"/>
  <c r="Q25" i="6"/>
  <c r="Q45" i="6" s="1"/>
  <c r="Q17" i="6"/>
  <c r="Q37" i="6" s="1"/>
  <c r="O27" i="6"/>
  <c r="P21" i="6"/>
  <c r="Q29" i="6"/>
  <c r="Q49" i="6" s="1"/>
  <c r="M28" i="6"/>
  <c r="M31" i="6"/>
  <c r="N51" i="6" s="1"/>
  <c r="L25" i="6"/>
  <c r="P18" i="6"/>
  <c r="M22" i="6"/>
  <c r="N28" i="6"/>
  <c r="N31" i="6"/>
  <c r="O51" i="6" s="1"/>
  <c r="M25" i="6"/>
  <c r="Q18" i="6"/>
  <c r="Q38" i="6" s="1"/>
  <c r="N22" i="6"/>
  <c r="O28" i="6"/>
  <c r="O31" i="6"/>
  <c r="P51" i="6" s="1"/>
  <c r="N25" i="6"/>
  <c r="N19" i="6"/>
  <c r="O22" i="6"/>
  <c r="P28" i="6"/>
  <c r="P31" i="6"/>
  <c r="O25" i="6"/>
  <c r="O19" i="6"/>
  <c r="P22" i="6"/>
  <c r="Q28" i="6"/>
  <c r="Q48" i="6" s="1"/>
  <c r="Q31" i="6"/>
  <c r="Q51" i="6" s="1"/>
  <c r="K26" i="6"/>
  <c r="P19" i="6"/>
  <c r="Q22" i="6"/>
  <c r="Q42" i="6" s="1"/>
  <c r="K29" i="6"/>
  <c r="K23" i="6"/>
  <c r="L26" i="6"/>
  <c r="Q19" i="6"/>
  <c r="Q39" i="6" s="1"/>
  <c r="P23" i="6"/>
  <c r="L29" i="6"/>
  <c r="L23" i="6"/>
  <c r="M26" i="6"/>
  <c r="M20" i="6"/>
  <c r="Q23" i="6"/>
  <c r="Q43" i="6" s="1"/>
  <c r="P20" i="6"/>
  <c r="M24" i="6"/>
  <c r="L28" i="6"/>
  <c r="M29" i="6"/>
  <c r="P25" i="6"/>
  <c r="Q16" i="6"/>
  <c r="Q36" i="6" s="1"/>
  <c r="Q57" i="6" s="1"/>
  <c r="L31" i="6"/>
  <c r="M23" i="6"/>
  <c r="N27" i="6"/>
  <c r="N21" i="6"/>
  <c r="K25" i="6"/>
  <c r="N26" i="6"/>
  <c r="P29" i="6"/>
  <c r="Q26" i="6"/>
  <c r="Q46" i="6" s="1"/>
  <c r="O18" i="6"/>
  <c r="N20" i="6"/>
  <c r="K24" i="6"/>
  <c r="Q27" i="6"/>
  <c r="Q47" i="6" s="1"/>
  <c r="Q21" i="6"/>
  <c r="Q41" i="6" s="1"/>
  <c r="P24" i="6"/>
  <c r="N30" i="6"/>
  <c r="L30" i="6"/>
  <c r="K27" i="6"/>
  <c r="J25" i="6"/>
  <c r="C12" i="6"/>
  <c r="H30" i="6"/>
  <c r="I28" i="6"/>
  <c r="G30" i="6"/>
  <c r="I25" i="6"/>
  <c r="H28" i="6"/>
  <c r="F28" i="6"/>
  <c r="J31" i="6"/>
  <c r="D30" i="6"/>
  <c r="E28" i="6"/>
  <c r="E30" i="6"/>
  <c r="H25" i="6"/>
  <c r="C30" i="6"/>
  <c r="J24" i="6"/>
  <c r="J23" i="6"/>
  <c r="K22" i="6"/>
  <c r="D31" i="6"/>
  <c r="G29" i="6"/>
  <c r="F27" i="6"/>
  <c r="I27" i="6"/>
  <c r="H29" i="6"/>
  <c r="I31" i="6"/>
  <c r="G31" i="6"/>
  <c r="I29" i="6"/>
  <c r="C31" i="6"/>
  <c r="F29" i="6"/>
  <c r="I26" i="6"/>
  <c r="I24" i="6"/>
  <c r="H27" i="6"/>
  <c r="B31" i="6"/>
  <c r="E29" i="6"/>
  <c r="J26" i="6"/>
  <c r="D29" i="6"/>
  <c r="J27" i="6"/>
  <c r="J29" i="6"/>
  <c r="I30" i="6"/>
  <c r="J28" i="6"/>
  <c r="G26" i="6"/>
  <c r="H31" i="6"/>
  <c r="F31" i="6"/>
  <c r="E31" i="6"/>
  <c r="G27" i="6"/>
  <c r="J30" i="6"/>
  <c r="F30" i="6"/>
  <c r="G28" i="6"/>
  <c r="H26" i="6"/>
  <c r="L22" i="6"/>
  <c r="L42" i="6" s="1"/>
  <c r="P37" i="6" l="1"/>
  <c r="Q60" i="6"/>
  <c r="Q63" i="6"/>
  <c r="Q59" i="6"/>
  <c r="Q70" i="6"/>
  <c r="Q58" i="6"/>
  <c r="Q61" i="6"/>
  <c r="Q68" i="6"/>
  <c r="P49" i="6"/>
  <c r="Q69" i="6"/>
  <c r="Q64" i="6"/>
  <c r="Q67" i="6"/>
  <c r="Q65" i="6"/>
  <c r="L51" i="6"/>
  <c r="M51" i="6"/>
  <c r="Q62" i="6"/>
  <c r="P41" i="6" l="1"/>
  <c r="P42" i="6"/>
  <c r="P46" i="6"/>
  <c r="P67" i="6"/>
  <c r="P38" i="6"/>
  <c r="O38" i="6" s="1"/>
  <c r="P45" i="6"/>
  <c r="O46" i="6" s="1"/>
  <c r="P71" i="6"/>
  <c r="P68" i="6"/>
  <c r="P50" i="6"/>
  <c r="O50" i="6" s="1"/>
  <c r="P47" i="6"/>
  <c r="P39" i="6"/>
  <c r="P64" i="6"/>
  <c r="P44" i="6"/>
  <c r="O45" i="6" s="1"/>
  <c r="P43" i="6"/>
  <c r="O44" i="6" s="1"/>
  <c r="P40" i="6"/>
  <c r="P48" i="6"/>
  <c r="O49" i="6" s="1"/>
  <c r="P62" i="6"/>
  <c r="P58" i="6"/>
  <c r="P59" i="6"/>
  <c r="P65" i="6"/>
  <c r="P66" i="6"/>
  <c r="O67" i="6" s="1"/>
  <c r="P63" i="6"/>
  <c r="P70" i="6"/>
  <c r="P69" i="6"/>
  <c r="P60" i="6"/>
  <c r="P61" i="6"/>
  <c r="O71" i="6" l="1"/>
  <c r="O69" i="6"/>
  <c r="O42" i="6"/>
  <c r="O41" i="6"/>
  <c r="O62" i="6"/>
  <c r="N50" i="6"/>
  <c r="O64" i="6"/>
  <c r="O48" i="6"/>
  <c r="N49" i="6" s="1"/>
  <c r="O40" i="6"/>
  <c r="N41" i="6" s="1"/>
  <c r="N46" i="6"/>
  <c r="O39" i="6"/>
  <c r="O68" i="6"/>
  <c r="N68" i="6" s="1"/>
  <c r="O47" i="6"/>
  <c r="N47" i="6" s="1"/>
  <c r="O43" i="6"/>
  <c r="N43" i="6" s="1"/>
  <c r="O70" i="6"/>
  <c r="N45" i="6"/>
  <c r="M46" i="6" s="1"/>
  <c r="O63" i="6"/>
  <c r="O66" i="6"/>
  <c r="N67" i="6" s="1"/>
  <c r="O61" i="6"/>
  <c r="O60" i="6"/>
  <c r="O59" i="6"/>
  <c r="O65" i="6"/>
  <c r="N70" i="6" l="1"/>
  <c r="N63" i="6"/>
  <c r="N42" i="6"/>
  <c r="M42" i="6" s="1"/>
  <c r="N62" i="6"/>
  <c r="N61" i="6"/>
  <c r="M50" i="6"/>
  <c r="N64" i="6"/>
  <c r="N48" i="6"/>
  <c r="M49" i="6" s="1"/>
  <c r="M43" i="6"/>
  <c r="N44" i="6"/>
  <c r="M45" i="6" s="1"/>
  <c r="L46" i="6" s="1"/>
  <c r="N69" i="6"/>
  <c r="M69" i="6" s="1"/>
  <c r="N40" i="6"/>
  <c r="M41" i="6" s="1"/>
  <c r="N71" i="6"/>
  <c r="N60" i="6"/>
  <c r="M47" i="6"/>
  <c r="M68" i="6"/>
  <c r="N66" i="6"/>
  <c r="M67" i="6" s="1"/>
  <c r="N65" i="6"/>
  <c r="M71" i="6" l="1"/>
  <c r="M70" i="6"/>
  <c r="M64" i="6"/>
  <c r="M63" i="6"/>
  <c r="M62" i="6"/>
  <c r="L63" i="6" s="1"/>
  <c r="L50" i="6"/>
  <c r="K51" i="6" s="1"/>
  <c r="M66" i="6"/>
  <c r="L67" i="6" s="1"/>
  <c r="M61" i="6"/>
  <c r="M44" i="6"/>
  <c r="L45" i="6" s="1"/>
  <c r="K46" i="6" s="1"/>
  <c r="M48" i="6"/>
  <c r="L49" i="6" s="1"/>
  <c r="L43" i="6"/>
  <c r="L68" i="6"/>
  <c r="L47" i="6"/>
  <c r="K43" i="6"/>
  <c r="M65" i="6"/>
  <c r="L69" i="6"/>
  <c r="K68" i="6" l="1"/>
  <c r="L64" i="6"/>
  <c r="K64" i="6" s="1"/>
  <c r="L71" i="6"/>
  <c r="L70" i="6"/>
  <c r="K50" i="6"/>
  <c r="L62" i="6"/>
  <c r="K63" i="6" s="1"/>
  <c r="K70" i="6"/>
  <c r="L44" i="6"/>
  <c r="K45" i="6" s="1"/>
  <c r="L48" i="6"/>
  <c r="K49" i="6" s="1"/>
  <c r="K47" i="6"/>
  <c r="K69" i="6"/>
  <c r="L66" i="6"/>
  <c r="K67" i="6" s="1"/>
  <c r="J68" i="6" s="1"/>
  <c r="L65" i="6"/>
  <c r="K71" i="6" l="1"/>
  <c r="J71" i="6" s="1"/>
  <c r="K44" i="6"/>
  <c r="J64" i="6"/>
  <c r="K48" i="6"/>
  <c r="K66" i="6"/>
  <c r="J67" i="6" s="1"/>
  <c r="I68" i="6" s="1"/>
  <c r="K65" i="6"/>
  <c r="J70" i="6"/>
  <c r="J69" i="6"/>
  <c r="I71" i="6" l="1"/>
  <c r="I70" i="6"/>
  <c r="J66" i="6"/>
  <c r="I67" i="6" s="1"/>
  <c r="H68" i="6" s="1"/>
  <c r="J65" i="6"/>
  <c r="I69" i="6"/>
  <c r="K42" i="6"/>
  <c r="J43" i="6" s="1"/>
  <c r="J44" i="6"/>
  <c r="J45" i="6"/>
  <c r="J46" i="6"/>
  <c r="J47" i="6"/>
  <c r="J48" i="6"/>
  <c r="J49" i="6"/>
  <c r="J50" i="6"/>
  <c r="J51" i="6"/>
  <c r="H71" i="6" l="1"/>
  <c r="H70" i="6"/>
  <c r="H69" i="6"/>
  <c r="I66" i="6"/>
  <c r="H67" i="6" s="1"/>
  <c r="G68" i="6" s="1"/>
  <c r="I65" i="6"/>
  <c r="I49" i="6"/>
  <c r="I51" i="6"/>
  <c r="I50" i="6"/>
  <c r="I48" i="6"/>
  <c r="I46" i="6"/>
  <c r="I45" i="6"/>
  <c r="I44" i="6"/>
  <c r="I47" i="6"/>
  <c r="G71" i="6" l="1"/>
  <c r="G70" i="6"/>
  <c r="H45" i="6"/>
  <c r="H66" i="6"/>
  <c r="G67" i="6" s="1"/>
  <c r="F68" i="6" s="1"/>
  <c r="G69" i="6"/>
  <c r="H49" i="6"/>
  <c r="H50" i="6"/>
  <c r="H46" i="6"/>
  <c r="G46" i="6" s="1"/>
  <c r="H48" i="6"/>
  <c r="H51" i="6"/>
  <c r="H47" i="6"/>
  <c r="G48" i="6" s="1"/>
  <c r="F71" i="6" l="1"/>
  <c r="F70" i="6"/>
  <c r="G50" i="6"/>
  <c r="F69" i="6"/>
  <c r="G51" i="6"/>
  <c r="G49" i="6"/>
  <c r="F49" i="6"/>
  <c r="G47" i="6"/>
  <c r="E71" i="6" l="1"/>
  <c r="F51" i="6"/>
  <c r="F50" i="6"/>
  <c r="E70" i="6"/>
  <c r="E69" i="6"/>
  <c r="F48" i="6"/>
  <c r="E49" i="6" s="1"/>
  <c r="F47" i="6"/>
  <c r="D71" i="6" l="1"/>
  <c r="D70" i="6"/>
  <c r="C71" i="6" s="1"/>
  <c r="E51" i="6"/>
  <c r="E50" i="6"/>
  <c r="E48" i="6"/>
  <c r="D49" i="6" s="1"/>
  <c r="D51" i="6" l="1"/>
  <c r="D50" i="6"/>
  <c r="O72" i="6"/>
  <c r="N72" i="6" s="1"/>
  <c r="M72" i="6" s="1"/>
  <c r="L72" i="6" s="1"/>
  <c r="K72" i="6" s="1"/>
  <c r="J72" i="6" s="1"/>
  <c r="I72" i="6" s="1"/>
  <c r="H72" i="6" s="1"/>
  <c r="G72" i="6" s="1"/>
  <c r="F72" i="6" s="1"/>
  <c r="E72" i="6" s="1"/>
  <c r="D72" i="6" s="1"/>
  <c r="C72" i="6" s="1"/>
  <c r="B72" i="6" s="1"/>
  <c r="C50" i="6" l="1"/>
  <c r="C51" i="6"/>
  <c r="B5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<sst xmlns="http://schemas.openxmlformats.org/spreadsheetml/2006/main" count="49" uniqueCount="27">
  <si>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</si>
  <si>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</si>
  <si>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</si>
  <si>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</si>
  <si>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</si>
  <si>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</si>
  <si>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</si>
  <si>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</si>
  <si>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</si>
  <si>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</si>
  <si>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</si>
  <si>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</si>
  <si>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</si>
  <si>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</si>
  <si>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</si>
  <si>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</si>
  <si>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</si>
  <si>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</si>
  <si>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</si>
  <si>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</si>
  <si>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</si>
  <si>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</si>
  <si>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r</t>
  </si>
  <si>
    <t>Div-Yield</t>
  </si>
  <si>
    <t>Futures-Lattice</t>
  </si>
  <si>
    <t>American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</si>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</sst>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%"/>
    <numFmt numFmtId="166" formatCode="0.00000"/>
    <numFmt numFmtId="167" formatCode="0.0"/>
    <numFmt numFmtId="168" formatCode="0.000"/>
    <numFmt numFmtId="169" formatCode="0.0000"/>
    <numFmt numFmtId="173" formatCode="0.0000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ill="1" applyBorder="1" applyAlignment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ill="1" applyBorder="1" applyAlignment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ill="1" applyBorder="1" applyAlignment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/>
    <xf numFmtId="167" fontId="1" fillId="0" borderId="0" xfId="1" applyNumberFormat="1" applyAlignment="1">
      <alignment horizontal="center"/>
    </xf>
    <xf numFmtId="167" fontId="1" fillId="0" borderId="15" xfId="1" applyNumberFormat="1" applyBorder="1" applyAlignment="1">
      <alignment horizontal="center"/>
    </xf>
    <xf numFmtId="167" fontId="1" fillId="0" borderId="16" xfId="1" applyNumberFormat="1" applyBorder="1" applyAlignment="1">
      <alignment horizontal="center"/>
    </xf>
    <xf numFmtId="168" fontId="1" fillId="0" borderId="17" xfId="1" applyNumberFormat="1" applyBorder="1" applyAlignment="1">
      <alignment horizontal="center"/>
    </xf>
    <xf numFmtId="168" fontId="1" fillId="0" borderId="0" xfId="1" applyNumberFormat="1" applyAlignment="1">
      <alignment horizontal="center"/>
    </xf>
    <xf numFmtId="168" fontId="1" fillId="0" borderId="18" xfId="1" applyNumberForma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Border="1" applyAlignment="1">
      <alignment horizontal="center"/>
    </xf>
    <xf numFmtId="167" fontId="1" fillId="0" borderId="18" xfId="1" applyNumberForma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167" fontId="4" fillId="0" borderId="11" xfId="1" applyNumberFormat="1" applyFont="1" applyBorder="1" applyAlignment="1">
      <alignment horizontal="center"/>
    </xf>
    <xf numFmtId="1" fontId="4" fillId="0" borderId="24" xfId="1" applyNumberFormat="1" applyFont="1" applyBorder="1" applyAlignment="1">
      <alignment horizontal="center"/>
    </xf>
    <xf numFmtId="1" fontId="4" fillId="0" borderId="25" xfId="1" applyNumberFormat="1" applyFont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1" xfId="1" applyFill="1" applyBorder="1"/>
    <xf numFmtId="0" fontId="1" fillId="0" borderId="22" xfId="1" applyBorder="1" applyAlignment="1">
      <alignment horizontal="center"/>
    </xf>
    <xf numFmtId="0" fontId="1" fillId="3" borderId="3" xfId="1" applyFill="1" applyBorder="1"/>
    <xf numFmtId="0" fontId="1" fillId="0" borderId="5" xfId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0" fontId="1" fillId="3" borderId="10" xfId="1" applyFill="1" applyBorder="1"/>
    <xf numFmtId="0" fontId="1" fillId="3" borderId="11" xfId="1" applyFill="1" applyBorder="1"/>
    <xf numFmtId="0" fontId="1" fillId="0" borderId="12" xfId="1" applyBorder="1"/>
    <xf numFmtId="164" fontId="1" fillId="3" borderId="12" xfId="2" applyFont="1" applyFill="1" applyBorder="1" applyAlignment="1">
      <alignment horizontal="center"/>
    </xf>
    <xf numFmtId="164" fontId="1" fillId="4" borderId="3" xfId="2" applyFont="1" applyFill="1" applyBorder="1" applyAlignment="1">
      <alignment horizontal="center"/>
    </xf>
    <xf numFmtId="164" fontId="1" fillId="4" borderId="10" xfId="2" applyFont="1" applyFill="1" applyBorder="1" applyAlignment="1">
      <alignment horizontal="center"/>
    </xf>
    <xf numFmtId="164" fontId="1" fillId="0" borderId="0" xfId="2" applyFont="1" applyAlignment="1">
      <alignment horizontal="center"/>
    </xf>
    <xf numFmtId="167" fontId="1" fillId="0" borderId="23" xfId="1" applyNumberFormat="1" applyBorder="1" applyAlignment="1">
      <alignment horizontal="center"/>
    </xf>
    <xf numFmtId="167" fontId="1" fillId="0" borderId="4" xfId="1" applyNumberFormat="1" applyBorder="1" applyAlignment="1">
      <alignment horizontal="center"/>
    </xf>
    <xf numFmtId="0" fontId="1" fillId="0" borderId="4" xfId="1" applyBorder="1"/>
    <xf numFmtId="0" fontId="1" fillId="0" borderId="3" xfId="1" applyBorder="1"/>
    <xf numFmtId="0" fontId="1" fillId="0" borderId="23" xfId="1" applyBorder="1"/>
    <xf numFmtId="0" fontId="1" fillId="0" borderId="10" xfId="1" applyBorder="1"/>
    <xf numFmtId="1" fontId="1" fillId="0" borderId="0" xfId="2" applyNumberFormat="1" applyFont="1"/>
    <xf numFmtId="167" fontId="1" fillId="0" borderId="9" xfId="1" applyNumberFormat="1" applyBorder="1" applyAlignment="1">
      <alignment horizontal="center"/>
    </xf>
    <xf numFmtId="0" fontId="1" fillId="0" borderId="9" xfId="1" applyBorder="1"/>
    <xf numFmtId="167" fontId="1" fillId="0" borderId="10" xfId="1" applyNumberFormat="1" applyBorder="1" applyAlignment="1">
      <alignment horizontal="center"/>
    </xf>
    <xf numFmtId="167" fontId="1" fillId="0" borderId="11" xfId="1" applyNumberFormat="1" applyBorder="1" applyAlignment="1">
      <alignment horizontal="center"/>
    </xf>
    <xf numFmtId="167" fontId="1" fillId="0" borderId="24" xfId="1" applyNumberFormat="1" applyBorder="1" applyAlignment="1">
      <alignment horizontal="center"/>
    </xf>
    <xf numFmtId="167" fontId="1" fillId="0" borderId="25" xfId="1" applyNumberFormat="1" applyBorder="1" applyAlignment="1">
      <alignment horizontal="center"/>
    </xf>
    <xf numFmtId="0" fontId="1" fillId="0" borderId="25" xfId="1" applyBorder="1"/>
    <xf numFmtId="0" fontId="1" fillId="0" borderId="0" xfId="1" applyAlignment="1">
      <alignment horizontal="center"/>
    </xf>
    <xf numFmtId="0" fontId="1" fillId="0" borderId="23" xfId="1" applyBorder="1" applyAlignment="1">
      <alignment horizontal="center"/>
    </xf>
    <xf numFmtId="0" fontId="1" fillId="0" borderId="5" xfId="1" applyBorder="1"/>
    <xf numFmtId="167" fontId="1" fillId="0" borderId="3" xfId="1" applyNumberForma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8" xfId="1" applyBorder="1"/>
    <xf numFmtId="2" fontId="1" fillId="0" borderId="11" xfId="1" applyNumberFormat="1" applyBorder="1" applyAlignment="1">
      <alignment horizontal="center"/>
    </xf>
    <xf numFmtId="167" fontId="1" fillId="0" borderId="26" xfId="1" applyNumberFormat="1" applyBorder="1" applyAlignment="1">
      <alignment horizontal="center"/>
    </xf>
    <xf numFmtId="0" fontId="1" fillId="0" borderId="26" xfId="1" applyBorder="1"/>
    <xf numFmtId="0" fontId="1" fillId="0" borderId="2" xfId="1" applyBorder="1"/>
    <xf numFmtId="2" fontId="7" fillId="0" borderId="9" xfId="3" applyNumberFormat="1" applyFont="1" applyBorder="1" applyAlignment="1">
      <alignment horizontal="center"/>
    </xf>
    <xf numFmtId="10" fontId="7" fillId="0" borderId="0" xfId="3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  <xf numFmtId="167" fontId="4" fillId="5" borderId="1" xfId="1" applyNumberFormat="1" applyFont="1" applyFill="1" applyBorder="1" applyAlignment="1">
      <alignment horizontal="center"/>
    </xf>
    <xf numFmtId="167" fontId="4" fillId="5" borderId="26" xfId="1" applyNumberFormat="1" applyFont="1" applyFill="1" applyBorder="1" applyAlignment="1">
      <alignment horizontal="center"/>
    </xf>
    <xf numFmtId="167" fontId="4" fillId="5" borderId="3" xfId="1" applyNumberFormat="1" applyFont="1" applyFill="1" applyBorder="1" applyAlignment="1">
      <alignment horizontal="center"/>
    </xf>
    <xf numFmtId="167" fontId="4" fillId="5" borderId="23" xfId="1" applyNumberFormat="1" applyFont="1" applyFill="1" applyBorder="1" applyAlignment="1">
      <alignment horizontal="center"/>
    </xf>
    <xf numFmtId="2" fontId="7" fillId="0" borderId="12" xfId="3" applyNumberFormat="1" applyFont="1" applyBorder="1" applyAlignment="1">
      <alignment horizontal="center"/>
    </xf>
    <xf numFmtId="173" fontId="1" fillId="0" borderId="8" xfId="1" applyNumberFormat="1" applyBorder="1" applyAlignment="1">
      <alignment horizontal="center"/>
    </xf>
    <xf numFmtId="173" fontId="1" fillId="0" borderId="5" xfId="1" applyNumberFormat="1" applyBorder="1" applyAlignment="1">
      <alignment horizontal="center"/>
    </xf>
    <xf numFmtId="173" fontId="1" fillId="0" borderId="8" xfId="3" applyNumberFormat="1" applyFont="1" applyBorder="1" applyAlignment="1">
      <alignment horizontal="center"/>
    </xf>
    <xf numFmtId="173" fontId="1" fillId="0" borderId="12" xfId="3" applyNumberFormat="1" applyFon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169" fontId="1" fillId="0" borderId="0" xfId="1" applyNumberFormat="1" applyAlignment="1">
      <alignment horizontal="center"/>
    </xf>
    <xf numFmtId="169" fontId="1" fillId="0" borderId="24" xfId="1" applyNumberForma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0000000-0005-0000-0000-000002000000}"/>
    <cellStyle name="Normal_Call" xfId="2" xr:uid="{00000000-0005-0000-0000-000003000000}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8"/>
  <sheetViews>
    <sheetView showGridLines="0" zoomScaleNormal="100" workbookViewId="0">
      <selection activeCell="E26" sqref="E26"/>
    </sheetView>
  </sheetViews>
  <sheetFormatPr defaultColWidth="9.1796875" defaultRowHeight="12.5" x14ac:dyDescent="0.25"/>
  <cols>
    <col min="1" max="1" width="10.453125" style="1" bestFit="1" customWidth="1"/>
    <col min="2" max="6" width="9.1796875" style="1"/>
    <col min="7" max="7" width="10.26953125" style="1" bestFit="1" customWidth="1"/>
    <col min="8" max="8" width="9.1796875" style="1"/>
    <col min="9" max="9" width="10.26953125" style="1" bestFit="1" customWidth="1"/>
    <col min="10" max="16384" width="9.1796875" style="1"/>
  </cols>
  <sheetData>
    <row r="1" spans="1:8" ht="13.5" thickBot="1" x14ac:dyDescent="0.35">
      <c r="A1" s="76" t="s">
        <v>0</v>
      </c>
      <c r="B1" s="77"/>
      <c r="E1" s="2"/>
      <c r="G1" s="78" t="s">
        <v>1</v>
      </c>
      <c r="H1" s="79"/>
    </row>
    <row r="2" spans="1:8" ht="13.5" thickBot="1" x14ac:dyDescent="0.35">
      <c r="A2" s="3" t="s">
        <v>2</v>
      </c>
      <c r="B2" s="4">
        <v>100</v>
      </c>
      <c r="G2" s="5" t="s">
        <v>3</v>
      </c>
      <c r="H2" s="6">
        <v>100</v>
      </c>
    </row>
    <row r="3" spans="1:8" ht="14.5" x14ac:dyDescent="0.35">
      <c r="A3" s="7" t="s">
        <v>4</v>
      </c>
      <c r="B3" s="8">
        <v>0.25</v>
      </c>
      <c r="D3" s="9"/>
    </row>
    <row r="4" spans="1:8" ht="14.5" x14ac:dyDescent="0.35">
      <c r="A4" s="7" t="s">
        <v>5</v>
      </c>
      <c r="B4" s="10">
        <v>0.23438000000000001</v>
      </c>
      <c r="D4" s="9"/>
    </row>
    <row r="5" spans="1:8" ht="13" x14ac:dyDescent="0.3">
      <c r="A5" s="7" t="s">
        <v>6</v>
      </c>
      <c r="B5" s="11">
        <v>3</v>
      </c>
      <c r="D5" s="12"/>
    </row>
    <row r="6" spans="1:8" ht="15" thickBot="1" x14ac:dyDescent="0.4">
      <c r="A6" s="7" t="s">
        <v>7</v>
      </c>
      <c r="B6" s="8">
        <v>1.0100100000000001</v>
      </c>
      <c r="D6" s="12"/>
    </row>
    <row r="7" spans="1:8" ht="13" x14ac:dyDescent="0.3">
      <c r="A7" s="13" t="s">
        <v>8</v>
      </c>
      <c r="B7" s="14">
        <v>1.07</v>
      </c>
    </row>
    <row r="8" spans="1:8" ht="13" x14ac:dyDescent="0.3">
      <c r="A8" s="15" t="s">
        <v>9</v>
      </c>
      <c r="B8" s="16">
        <f>1/B7</f>
        <v>0.93457943925233644</v>
      </c>
      <c r="G8" s="17"/>
    </row>
    <row r="9" spans="1:8" ht="13" x14ac:dyDescent="0.3">
      <c r="A9" s="15" t="s">
        <v>10</v>
      </c>
      <c r="B9" s="18">
        <f>(B6 - B8) / (B7 - B8)</f>
        <v>0.55700966183574907</v>
      </c>
      <c r="G9" s="17"/>
    </row>
    <row r="10" spans="1:8" ht="13.5" thickBot="1" x14ac:dyDescent="0.35">
      <c r="A10" s="19" t="s">
        <v>11</v>
      </c>
      <c r="B10" s="20">
        <f>1 - B9</f>
        <v>0.44299033816425093</v>
      </c>
      <c r="D10" s="21"/>
      <c r="F10" s="17"/>
    </row>
    <row r="11" spans="1:8" ht="13" x14ac:dyDescent="0.3">
      <c r="D11" s="21"/>
      <c r="F11" s="17"/>
      <c r="G11" s="22"/>
    </row>
    <row r="12" spans="1:8" ht="13" thickBot="1" x14ac:dyDescent="0.3">
      <c r="G12" s="22"/>
    </row>
    <row r="13" spans="1:8" ht="13.5" thickBot="1" x14ac:dyDescent="0.35">
      <c r="A13" s="22"/>
      <c r="B13" s="80" t="s">
        <v>12</v>
      </c>
      <c r="C13" s="81"/>
      <c r="D13" s="23"/>
      <c r="E13" s="24"/>
      <c r="F13" s="22"/>
      <c r="G13" s="22"/>
    </row>
    <row r="14" spans="1:8" x14ac:dyDescent="0.25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25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25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ht="13" x14ac:dyDescent="0.3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25">
      <c r="A18" s="22"/>
      <c r="B18" s="29"/>
      <c r="C18" s="22"/>
      <c r="D18" s="22"/>
      <c r="E18" s="30"/>
      <c r="F18" s="22"/>
    </row>
    <row r="19" spans="1:7" ht="13.5" thickBot="1" x14ac:dyDescent="0.35">
      <c r="A19" s="28"/>
      <c r="B19" s="31" t="s">
        <v>13</v>
      </c>
      <c r="C19" s="32" t="s">
        <v>14</v>
      </c>
      <c r="D19" s="32" t="s">
        <v>15</v>
      </c>
      <c r="E19" s="33" t="s">
        <v>16</v>
      </c>
      <c r="F19" s="28"/>
    </row>
    <row r="20" spans="1:7" x14ac:dyDescent="0.25">
      <c r="G20" s="22"/>
    </row>
    <row r="21" spans="1:7" ht="13" thickBot="1" x14ac:dyDescent="0.3">
      <c r="G21" s="22"/>
    </row>
    <row r="22" spans="1:7" ht="13.5" thickBot="1" x14ac:dyDescent="0.35">
      <c r="A22" s="22"/>
      <c r="B22" s="80" t="s">
        <v>17</v>
      </c>
      <c r="C22" s="81"/>
      <c r="D22" s="23"/>
      <c r="E22" s="24"/>
      <c r="F22" s="22"/>
      <c r="G22" s="22"/>
    </row>
    <row r="23" spans="1:7" x14ac:dyDescent="0.25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25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 x14ac:dyDescent="0.25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 ht="13" x14ac:dyDescent="0.3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25">
      <c r="A27" s="22"/>
      <c r="B27" s="25"/>
      <c r="C27" s="26"/>
      <c r="D27" s="26"/>
      <c r="E27" s="27"/>
      <c r="F27" s="22"/>
    </row>
    <row r="28" spans="1:7" ht="13.5" thickBot="1" x14ac:dyDescent="0.35">
      <c r="A28" s="28"/>
      <c r="B28" s="31" t="s">
        <v>13</v>
      </c>
      <c r="C28" s="32" t="s">
        <v>14</v>
      </c>
      <c r="D28" s="32" t="s">
        <v>15</v>
      </c>
      <c r="E28" s="33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R73"/>
  <sheetViews>
    <sheetView showGridLines="0" tabSelected="1" topLeftCell="B6" zoomScale="67" zoomScaleNormal="67" workbookViewId="0">
      <selection activeCell="J6" sqref="J6"/>
    </sheetView>
  </sheetViews>
  <sheetFormatPr defaultColWidth="9.1796875" defaultRowHeight="12.5" x14ac:dyDescent="0.25"/>
  <cols>
    <col min="1" max="1" width="3.26953125" style="1" customWidth="1"/>
    <col min="2" max="2" width="9.1796875" style="1"/>
    <col min="3" max="3" width="13.453125" style="1" bestFit="1" customWidth="1"/>
    <col min="4" max="6" width="9.1796875" style="1"/>
    <col min="7" max="7" width="10.26953125" style="1" bestFit="1" customWidth="1"/>
    <col min="8" max="8" width="9.1796875" style="1"/>
    <col min="9" max="9" width="10.26953125" style="1" bestFit="1" customWidth="1"/>
    <col min="10" max="16384" width="9.1796875" style="1"/>
  </cols>
  <sheetData>
    <row r="1" spans="1:18" ht="13" thickBot="1" x14ac:dyDescent="0.3"/>
    <row r="2" spans="1:18" ht="13" thickBot="1" x14ac:dyDescent="0.3">
      <c r="B2" s="76" t="s">
        <v>0</v>
      </c>
      <c r="C2" s="77"/>
      <c r="E2" s="76" t="s">
        <v>18</v>
      </c>
      <c r="F2" s="77"/>
      <c r="I2" s="76" t="s">
        <v>1</v>
      </c>
      <c r="J2" s="77"/>
    </row>
    <row r="3" spans="1:18" ht="13" thickBot="1" x14ac:dyDescent="0.3">
      <c r="B3" s="37" t="s">
        <v>2</v>
      </c>
      <c r="C3" s="91">
        <v>100</v>
      </c>
      <c r="E3" s="38" t="s">
        <v>19</v>
      </c>
      <c r="F3" s="39">
        <v>15</v>
      </c>
      <c r="I3" s="40" t="s">
        <v>20</v>
      </c>
      <c r="J3" s="41">
        <v>-1</v>
      </c>
    </row>
    <row r="4" spans="1:18" x14ac:dyDescent="0.25">
      <c r="B4" s="42" t="s">
        <v>4</v>
      </c>
      <c r="C4" s="74">
        <v>0.25</v>
      </c>
      <c r="I4" s="43" t="s">
        <v>3</v>
      </c>
      <c r="J4" s="11">
        <v>110</v>
      </c>
    </row>
    <row r="5" spans="1:18" x14ac:dyDescent="0.25">
      <c r="B5" s="42" t="s">
        <v>5</v>
      </c>
      <c r="C5" s="74">
        <v>0.3</v>
      </c>
      <c r="I5" s="43" t="s">
        <v>19</v>
      </c>
      <c r="J5" s="11">
        <v>15</v>
      </c>
    </row>
    <row r="6" spans="1:18" ht="13" thickBot="1" x14ac:dyDescent="0.3">
      <c r="B6" s="42" t="s">
        <v>6</v>
      </c>
      <c r="C6" s="92">
        <v>15</v>
      </c>
      <c r="I6" s="44" t="s">
        <v>21</v>
      </c>
      <c r="J6" s="45" t="s">
        <v>25</v>
      </c>
    </row>
    <row r="7" spans="1:18" x14ac:dyDescent="0.25">
      <c r="B7" s="42" t="s">
        <v>22</v>
      </c>
      <c r="C7" s="74">
        <v>0.02</v>
      </c>
    </row>
    <row r="8" spans="1:18" ht="13" thickBot="1" x14ac:dyDescent="0.3">
      <c r="B8" s="46" t="s">
        <v>23</v>
      </c>
      <c r="C8" s="86">
        <v>0.01</v>
      </c>
    </row>
    <row r="9" spans="1:18" x14ac:dyDescent="0.25">
      <c r="B9" s="47" t="s">
        <v>8</v>
      </c>
      <c r="C9" s="88">
        <f>EXP(C5*SQRT(C4/C6))</f>
        <v>1.0394896104013376</v>
      </c>
    </row>
    <row r="10" spans="1:18" x14ac:dyDescent="0.25">
      <c r="B10" s="48" t="s">
        <v>9</v>
      </c>
      <c r="C10" s="87">
        <f>1/C9</f>
        <v>0.96201057710803761</v>
      </c>
    </row>
    <row r="11" spans="1:18" x14ac:dyDescent="0.25">
      <c r="B11" s="48" t="s">
        <v>10</v>
      </c>
      <c r="C11" s="89">
        <f>(EXP((C7 - C8) * C4/C6) - C10) / (C9 - C10)</f>
        <v>0.49247005062451049</v>
      </c>
    </row>
    <row r="12" spans="1:18" ht="13" thickBot="1" x14ac:dyDescent="0.3">
      <c r="B12" s="19" t="s">
        <v>11</v>
      </c>
      <c r="C12" s="90">
        <f>1 - C11</f>
        <v>0.50752994937548945</v>
      </c>
    </row>
    <row r="13" spans="1:18" x14ac:dyDescent="0.25">
      <c r="A13" s="49"/>
      <c r="B13" s="75"/>
    </row>
    <row r="14" spans="1:18" ht="13" thickBot="1" x14ac:dyDescent="0.3">
      <c r="A14" s="49"/>
    </row>
    <row r="15" spans="1:18" ht="13.5" thickBot="1" x14ac:dyDescent="0.35">
      <c r="B15" s="84" t="s">
        <v>12</v>
      </c>
      <c r="C15" s="85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  <c r="R15" s="52" t="s">
        <v>26</v>
      </c>
    </row>
    <row r="16" spans="1:18" x14ac:dyDescent="0.25"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0"/>
      <c r="N16" s="50"/>
      <c r="O16" s="50"/>
      <c r="P16" s="50"/>
      <c r="Q16" s="51">
        <f t="shared" ref="Q16:Q31" si="0">$C$3 * ($C$9 ^ ($R16)) * ($C$10 ^ (Q$32-$R16))</f>
        <v>178.77315075823688</v>
      </c>
      <c r="R16" s="52">
        <v>15</v>
      </c>
    </row>
    <row r="17" spans="1:18" x14ac:dyDescent="0.25">
      <c r="B17" s="55"/>
      <c r="D17" s="56"/>
      <c r="F17" s="17"/>
      <c r="G17" s="17"/>
      <c r="M17" s="22"/>
      <c r="N17" s="22"/>
      <c r="O17" s="22"/>
      <c r="P17" s="22">
        <f t="shared" ref="P17:P31" si="1">$C$3 * ($C$9 ^ ($R17)) * ($C$10 ^ (P$32-$R17))</f>
        <v>171.98166193235366</v>
      </c>
      <c r="Q17" s="57">
        <f t="shared" si="0"/>
        <v>165.44817784754298</v>
      </c>
      <c r="R17" s="58">
        <v>14</v>
      </c>
    </row>
    <row r="18" spans="1:18" x14ac:dyDescent="0.25">
      <c r="B18" s="55"/>
      <c r="D18" s="56"/>
      <c r="F18" s="17"/>
      <c r="G18" s="17"/>
      <c r="M18" s="22"/>
      <c r="N18" s="22"/>
      <c r="O18" s="22">
        <f t="shared" ref="O18:O31" si="2">$C$3 * ($C$9 ^ ($R18)) * ($C$10 ^ (O$32-$R18))</f>
        <v>165.44817784754298</v>
      </c>
      <c r="P18" s="22">
        <f t="shared" si="1"/>
        <v>159.16289705258808</v>
      </c>
      <c r="Q18" s="57">
        <f t="shared" si="0"/>
        <v>153.11639044774742</v>
      </c>
      <c r="R18" s="58">
        <v>13</v>
      </c>
    </row>
    <row r="19" spans="1:18" x14ac:dyDescent="0.25">
      <c r="B19" s="55"/>
      <c r="M19" s="22"/>
      <c r="N19" s="22">
        <f t="shared" ref="N19:N31" si="3">$C$3 * ($C$9 ^ ($R19)) * ($C$10 ^ (N$32-$R19))</f>
        <v>159.16289705258805</v>
      </c>
      <c r="O19" s="22">
        <f t="shared" si="2"/>
        <v>153.11639044774742</v>
      </c>
      <c r="P19" s="22">
        <f t="shared" si="1"/>
        <v>147.29958713933709</v>
      </c>
      <c r="Q19" s="57">
        <f t="shared" si="0"/>
        <v>141.70376083168935</v>
      </c>
      <c r="R19" s="58">
        <v>12</v>
      </c>
    </row>
    <row r="20" spans="1:18" x14ac:dyDescent="0.25">
      <c r="A20" s="22"/>
      <c r="B20" s="55"/>
      <c r="M20" s="22">
        <f t="shared" ref="M20:M31" si="4">$C$3 * ($C$9 ^ ($R20)) * ($C$10 ^ (M$32-$R20))</f>
        <v>153.11639044774745</v>
      </c>
      <c r="N20" s="22">
        <f t="shared" si="3"/>
        <v>147.29958713933715</v>
      </c>
      <c r="O20" s="22">
        <f t="shared" si="2"/>
        <v>141.70376083168941</v>
      </c>
      <c r="P20" s="22">
        <f t="shared" si="1"/>
        <v>136.32051673607285</v>
      </c>
      <c r="Q20" s="57">
        <f t="shared" si="0"/>
        <v>131.14177897693534</v>
      </c>
      <c r="R20" s="58">
        <v>11</v>
      </c>
    </row>
    <row r="21" spans="1:18" x14ac:dyDescent="0.25">
      <c r="A21" s="22"/>
      <c r="B21" s="59"/>
      <c r="C21" s="22"/>
      <c r="D21" s="22"/>
      <c r="E21" s="22"/>
      <c r="F21" s="22"/>
      <c r="G21" s="22"/>
      <c r="H21" s="22"/>
      <c r="I21" s="22"/>
      <c r="J21" s="22"/>
      <c r="K21" s="22"/>
      <c r="L21" s="22">
        <f>C3 * (C9 ^ (10)) * (C10 ^ (0))</f>
        <v>147.29958713933712</v>
      </c>
      <c r="M21" s="22">
        <f t="shared" si="4"/>
        <v>141.70376083168938</v>
      </c>
      <c r="N21" s="22">
        <f t="shared" si="3"/>
        <v>136.32051673607282</v>
      </c>
      <c r="O21" s="22">
        <f t="shared" si="2"/>
        <v>131.14177897693531</v>
      </c>
      <c r="P21" s="22">
        <f t="shared" si="1"/>
        <v>126.15977847657626</v>
      </c>
      <c r="Q21" s="57">
        <f t="shared" si="0"/>
        <v>121.36704130007331</v>
      </c>
      <c r="R21" s="58">
        <v>10</v>
      </c>
    </row>
    <row r="22" spans="1:18" x14ac:dyDescent="0.25">
      <c r="A22" s="22"/>
      <c r="B22" s="59"/>
      <c r="C22" s="22"/>
      <c r="D22" s="22"/>
      <c r="E22" s="22"/>
      <c r="F22" s="22"/>
      <c r="G22" s="22"/>
      <c r="H22" s="22"/>
      <c r="I22" s="22"/>
      <c r="J22" s="22"/>
      <c r="K22" s="22">
        <f>C3 * (C9 ^ (9)) * (C10 ^ (0))</f>
        <v>141.70376083168941</v>
      </c>
      <c r="L22" s="22">
        <f>C3 * (C9 ^ (9)) * (C10 ^ (1))</f>
        <v>136.32051673607288</v>
      </c>
      <c r="M22" s="22">
        <f t="shared" si="4"/>
        <v>131.14177897693534</v>
      </c>
      <c r="N22" s="22">
        <f t="shared" si="3"/>
        <v>126.15977847657629</v>
      </c>
      <c r="O22" s="22">
        <f t="shared" si="2"/>
        <v>121.36704130007334</v>
      </c>
      <c r="P22" s="22">
        <f t="shared" si="1"/>
        <v>116.75637744297859</v>
      </c>
      <c r="Q22" s="57">
        <f t="shared" si="0"/>
        <v>112.3208700449637</v>
      </c>
      <c r="R22" s="58">
        <v>9</v>
      </c>
    </row>
    <row r="23" spans="1:18" x14ac:dyDescent="0.25">
      <c r="A23" s="22"/>
      <c r="B23" s="59"/>
      <c r="C23" s="22"/>
      <c r="D23" s="22"/>
      <c r="E23" s="22"/>
      <c r="F23" s="22"/>
      <c r="G23" s="22"/>
      <c r="H23" s="22"/>
      <c r="I23" s="22"/>
      <c r="J23" s="22">
        <f>C3 * (C9 ^ (8)) * (C10 ^ (0))</f>
        <v>136.32051673607288</v>
      </c>
      <c r="K23" s="22">
        <f>C3 * (C9 ^ (8)) * (C10 ^ (1))</f>
        <v>131.14177897693537</v>
      </c>
      <c r="L23" s="22">
        <f>C3 * (C9 ^ (8)) * (C10 ^ (2))</f>
        <v>126.15977847657631</v>
      </c>
      <c r="M23" s="22">
        <f t="shared" si="4"/>
        <v>121.36704130007335</v>
      </c>
      <c r="N23" s="22">
        <f t="shared" si="3"/>
        <v>116.7563774429786</v>
      </c>
      <c r="O23" s="22">
        <f t="shared" si="2"/>
        <v>112.32087004496371</v>
      </c>
      <c r="P23" s="22">
        <f t="shared" si="1"/>
        <v>108.05386501323242</v>
      </c>
      <c r="Q23" s="57">
        <f t="shared" si="0"/>
        <v>103.94896104013372</v>
      </c>
      <c r="R23" s="58">
        <v>8</v>
      </c>
    </row>
    <row r="24" spans="1:18" x14ac:dyDescent="0.25">
      <c r="A24" s="22"/>
      <c r="B24" s="59"/>
      <c r="C24" s="22"/>
      <c r="D24" s="22"/>
      <c r="E24" s="22"/>
      <c r="F24" s="22"/>
      <c r="G24" s="22"/>
      <c r="H24" s="22"/>
      <c r="I24" s="22">
        <f>C3 * (C9 ^ (7)) * (C10 ^ (0))</f>
        <v>131.14177897693537</v>
      </c>
      <c r="J24" s="22">
        <f>C3 * (C9 ^ (7)) * (C10 ^ (1))</f>
        <v>126.15977847657631</v>
      </c>
      <c r="K24" s="22">
        <f>C3 * (C9 ^ (7)) * (C10 ^ (2))</f>
        <v>121.36704130007335</v>
      </c>
      <c r="L24" s="22">
        <f>C3 * (C9 ^ (7)) * (C10 ^ (3))</f>
        <v>116.7563774429786</v>
      </c>
      <c r="M24" s="22">
        <f t="shared" si="4"/>
        <v>112.32087004496371</v>
      </c>
      <c r="N24" s="22">
        <f t="shared" si="3"/>
        <v>108.05386501323244</v>
      </c>
      <c r="O24" s="22">
        <f t="shared" si="2"/>
        <v>103.94896104013372</v>
      </c>
      <c r="P24" s="22">
        <f t="shared" si="1"/>
        <v>99.999999999999957</v>
      </c>
      <c r="Q24" s="57">
        <f t="shared" si="0"/>
        <v>96.201057710803724</v>
      </c>
      <c r="R24" s="58">
        <v>7</v>
      </c>
    </row>
    <row r="25" spans="1:18" x14ac:dyDescent="0.25">
      <c r="A25" s="22"/>
      <c r="B25" s="59"/>
      <c r="C25" s="22"/>
      <c r="D25" s="22"/>
      <c r="E25" s="22"/>
      <c r="F25" s="22"/>
      <c r="G25" s="22"/>
      <c r="H25" s="22">
        <f>C3 * (C9 ^ (6)) * (C10 ^ (0))</f>
        <v>126.15977847657631</v>
      </c>
      <c r="I25" s="22">
        <f>C3 * (C9 ^ (6)) * (C10 ^ (1))</f>
        <v>121.36704130007335</v>
      </c>
      <c r="J25" s="22">
        <f>C3 * (C9 ^ (6)) * (C10 ^ (2))</f>
        <v>116.7563774429786</v>
      </c>
      <c r="K25" s="22">
        <f>C3 * (C9 ^ (6)) * (C10 ^ (3))</f>
        <v>112.3208700449637</v>
      </c>
      <c r="L25" s="22">
        <f>C3 * (C9 ^ (6)) * (C10 ^ (4))</f>
        <v>108.05386501323244</v>
      </c>
      <c r="M25" s="22">
        <f t="shared" si="4"/>
        <v>103.94896104013372</v>
      </c>
      <c r="N25" s="22">
        <f t="shared" si="3"/>
        <v>99.999999999999957</v>
      </c>
      <c r="O25" s="22">
        <f t="shared" si="2"/>
        <v>96.201057710803724</v>
      </c>
      <c r="P25" s="22">
        <f t="shared" si="1"/>
        <v>92.546435046773922</v>
      </c>
      <c r="Q25" s="57">
        <f t="shared" si="0"/>
        <v>89.030649388638494</v>
      </c>
      <c r="R25" s="58">
        <v>6</v>
      </c>
    </row>
    <row r="26" spans="1:18" x14ac:dyDescent="0.25">
      <c r="A26" s="22"/>
      <c r="B26" s="59"/>
      <c r="C26" s="22"/>
      <c r="D26" s="22"/>
      <c r="E26" s="22"/>
      <c r="F26" s="22"/>
      <c r="G26" s="22">
        <f>C3 * (C9 ^ (5)) * (C10 ^ (0))</f>
        <v>121.36704130007337</v>
      </c>
      <c r="H26" s="22">
        <f>C3 * (C9 ^ (5)) * (C10 ^ (1))</f>
        <v>116.75637744297862</v>
      </c>
      <c r="I26" s="22">
        <f>C3 * (C9 ^ (5)) * (C10 ^ (2))</f>
        <v>112.32087004496373</v>
      </c>
      <c r="J26" s="22">
        <f>C3 * (C9 ^ (5)) * (C10 ^ (3))</f>
        <v>108.05386501323244</v>
      </c>
      <c r="K26" s="22">
        <f>C3 * (C9 ^ (5)) * (C10 ^ (4))</f>
        <v>103.94896104013374</v>
      </c>
      <c r="L26" s="22">
        <f>C3 * (C9 ^ (5)) * (C10 ^ (5))</f>
        <v>99.999999999999972</v>
      </c>
      <c r="M26" s="22">
        <f t="shared" si="4"/>
        <v>96.201057710803724</v>
      </c>
      <c r="N26" s="22">
        <f t="shared" si="3"/>
        <v>92.546435046773937</v>
      </c>
      <c r="O26" s="22">
        <f t="shared" si="2"/>
        <v>89.030649388638508</v>
      </c>
      <c r="P26" s="22">
        <f t="shared" si="1"/>
        <v>85.648426398667482</v>
      </c>
      <c r="Q26" s="57">
        <f t="shared" si="0"/>
        <v>82.394692108177381</v>
      </c>
      <c r="R26" s="58">
        <v>5</v>
      </c>
    </row>
    <row r="27" spans="1:18" x14ac:dyDescent="0.25">
      <c r="A27" s="22"/>
      <c r="B27" s="59"/>
      <c r="C27" s="22"/>
      <c r="D27" s="22"/>
      <c r="E27" s="22"/>
      <c r="F27" s="22">
        <f>C3 * (C9 ^ (4)) * (C10 ^ (0))</f>
        <v>116.75637744297862</v>
      </c>
      <c r="G27" s="22">
        <f>C3 * (C9 ^ (4)) * (C10 ^ (1))</f>
        <v>112.32087004496373</v>
      </c>
      <c r="H27" s="22">
        <f>C3 * (C9 ^ (4)) * (C10 ^ (2))</f>
        <v>108.05386501323244</v>
      </c>
      <c r="I27" s="22">
        <f>C3 * (C9 ^ (4)) * (C10 ^ (3))</f>
        <v>103.94896104013374</v>
      </c>
      <c r="J27" s="22">
        <f>C3 * (C9 ^ (4)) * (C10 ^ (4))</f>
        <v>99.999999999999972</v>
      </c>
      <c r="K27" s="22">
        <f t="shared" ref="K27:L31" si="5">$C$3 * ($C$9 ^ ($R27)) * ($C$10 ^ (K$32-$R27))</f>
        <v>96.201057710803738</v>
      </c>
      <c r="L27" s="22">
        <f t="shared" si="5"/>
        <v>92.546435046773937</v>
      </c>
      <c r="M27" s="22">
        <f t="shared" si="4"/>
        <v>89.030649388638508</v>
      </c>
      <c r="N27" s="22">
        <f t="shared" si="3"/>
        <v>85.648426398667482</v>
      </c>
      <c r="O27" s="22">
        <f t="shared" si="2"/>
        <v>82.394692108177395</v>
      </c>
      <c r="P27" s="22">
        <f t="shared" si="1"/>
        <v>79.264565305626803</v>
      </c>
      <c r="Q27" s="57">
        <f t="shared" si="0"/>
        <v>76.253350213883778</v>
      </c>
      <c r="R27" s="58">
        <v>4</v>
      </c>
    </row>
    <row r="28" spans="1:18" x14ac:dyDescent="0.25">
      <c r="A28" s="22"/>
      <c r="B28" s="59"/>
      <c r="C28" s="22"/>
      <c r="D28" s="22"/>
      <c r="E28" s="22">
        <f>C3 * (C9 ^ (3)) * (C10 ^ (0))</f>
        <v>112.32087004496374</v>
      </c>
      <c r="F28" s="22">
        <f>C3 * (C9 ^ (3)) * (C10 ^ (1))</f>
        <v>108.05386501323247</v>
      </c>
      <c r="G28" s="22">
        <f>C3 * (C9 ^ (3)) * (C10 ^ (2))</f>
        <v>103.94896104013375</v>
      </c>
      <c r="H28" s="22">
        <f>C3 * (C9 ^ (3)) * (C10 ^ (3))</f>
        <v>99.999999999999986</v>
      </c>
      <c r="I28" s="22">
        <f>C3 * (C9 ^ (3)) * (C10 ^ (4))</f>
        <v>96.201057710803752</v>
      </c>
      <c r="J28" s="22">
        <f>C3 * (C9 ^ (3)) * (C10 ^ (5))</f>
        <v>92.546435046773951</v>
      </c>
      <c r="K28" s="22">
        <f t="shared" si="5"/>
        <v>89.030649388638523</v>
      </c>
      <c r="L28" s="22">
        <f t="shared" si="5"/>
        <v>85.648426398667496</v>
      </c>
      <c r="M28" s="22">
        <f t="shared" si="4"/>
        <v>82.394692108177409</v>
      </c>
      <c r="N28" s="22">
        <f t="shared" si="3"/>
        <v>79.264565305626817</v>
      </c>
      <c r="O28" s="22">
        <f t="shared" si="2"/>
        <v>76.253350213883778</v>
      </c>
      <c r="P28" s="22">
        <f t="shared" si="1"/>
        <v>73.356529445679641</v>
      </c>
      <c r="Q28" s="57">
        <f t="shared" si="0"/>
        <v>70.56975722668102</v>
      </c>
      <c r="R28" s="58">
        <v>3</v>
      </c>
    </row>
    <row r="29" spans="1:18" x14ac:dyDescent="0.25">
      <c r="A29" s="22"/>
      <c r="B29" s="59"/>
      <c r="C29" s="22"/>
      <c r="D29" s="22">
        <f>C3 * (C9 ^ (2)) * (C10 ^ (0))</f>
        <v>108.05386501323247</v>
      </c>
      <c r="E29" s="22">
        <f>C3 * (C9 ^ (2)) * (C10 ^ (1))</f>
        <v>103.94896104013377</v>
      </c>
      <c r="F29" s="22">
        <f>C3 * (C9 ^ (2)) * (C10 ^ (2))</f>
        <v>100</v>
      </c>
      <c r="G29" s="22">
        <f>C3 * (C9 ^ (2)) * (C10 ^ (3))</f>
        <v>96.201057710803752</v>
      </c>
      <c r="H29" s="22">
        <f>C3 * (C9 ^ (2)) * (C10 ^ (4))</f>
        <v>92.546435046773951</v>
      </c>
      <c r="I29" s="22">
        <f>C3 * (C9 ^ (2)) * (C10 ^ (5))</f>
        <v>89.030649388638523</v>
      </c>
      <c r="J29" s="22">
        <f>C3 * (C9 ^ (2)) * (C10 ^ (6))</f>
        <v>85.648426398667496</v>
      </c>
      <c r="K29" s="22">
        <f t="shared" si="5"/>
        <v>82.394692108177409</v>
      </c>
      <c r="L29" s="22">
        <f t="shared" si="5"/>
        <v>79.264565305626817</v>
      </c>
      <c r="M29" s="22">
        <f t="shared" si="4"/>
        <v>76.253350213883792</v>
      </c>
      <c r="N29" s="22">
        <f t="shared" si="3"/>
        <v>73.356529445679641</v>
      </c>
      <c r="O29" s="22">
        <f t="shared" si="2"/>
        <v>70.569757226681034</v>
      </c>
      <c r="P29" s="22">
        <f t="shared" si="1"/>
        <v>67.88885287601353</v>
      </c>
      <c r="Q29" s="57">
        <f t="shared" si="0"/>
        <v>65.309794534456429</v>
      </c>
      <c r="R29" s="58">
        <v>2</v>
      </c>
    </row>
    <row r="30" spans="1:18" x14ac:dyDescent="0.25">
      <c r="A30" s="22"/>
      <c r="B30" s="59"/>
      <c r="C30" s="22">
        <f>C3 * (C9 ^ (1)) * (C10 ^ (0))</f>
        <v>103.94896104013375</v>
      </c>
      <c r="D30" s="22">
        <f>C3 * (C9 ^ (1)) * (C10 ^ (1))</f>
        <v>99.999999999999986</v>
      </c>
      <c r="E30" s="22">
        <f>C3 * (C9 ^ (1)) * (C10 ^ (2))</f>
        <v>96.201057710803752</v>
      </c>
      <c r="F30" s="22">
        <f>C3 * (C9 ^ (1)) * (C10 ^ (3))</f>
        <v>92.546435046773937</v>
      </c>
      <c r="G30" s="22">
        <f>C3 * (C9 ^ (1)) * (C10 ^ (4))</f>
        <v>89.030649388638523</v>
      </c>
      <c r="H30" s="22">
        <f>C3 * (C9 ^ (1)) * (C10 ^ (5))</f>
        <v>85.648426398667496</v>
      </c>
      <c r="I30" s="22">
        <f>C3 * (C9 ^ (1)) * (C10 ^ (6))</f>
        <v>82.394692108177395</v>
      </c>
      <c r="J30" s="22">
        <f>C3 * (C9 ^ (1)) * (C10 ^ (7))</f>
        <v>79.264565305626817</v>
      </c>
      <c r="K30" s="22">
        <f t="shared" si="5"/>
        <v>76.253350213883792</v>
      </c>
      <c r="L30" s="22">
        <f t="shared" si="5"/>
        <v>73.356529445679655</v>
      </c>
      <c r="M30" s="22">
        <f t="shared" si="4"/>
        <v>70.56975722668102</v>
      </c>
      <c r="N30" s="22">
        <f t="shared" si="3"/>
        <v>67.888852876013516</v>
      </c>
      <c r="O30" s="22">
        <f t="shared" si="2"/>
        <v>65.309794534456429</v>
      </c>
      <c r="P30" s="22">
        <f t="shared" si="1"/>
        <v>62.828713130899786</v>
      </c>
      <c r="Q30" s="57">
        <f t="shared" si="0"/>
        <v>60.441886578012237</v>
      </c>
      <c r="R30" s="58">
        <v>1</v>
      </c>
    </row>
    <row r="31" spans="1:18" ht="13" thickBot="1" x14ac:dyDescent="0.3">
      <c r="A31" s="22"/>
      <c r="B31" s="60">
        <f>C3 * (C9 ^ (0)) * (C10 ^ (0))</f>
        <v>100</v>
      </c>
      <c r="C31" s="61">
        <f>C3 * (C9 ^ (0)) * (C10 ^ (1))</f>
        <v>96.201057710803767</v>
      </c>
      <c r="D31" s="61">
        <f>C3 * (C9 ^ (0)) * (C10 ^ (2))</f>
        <v>92.546435046773951</v>
      </c>
      <c r="E31" s="61">
        <f>C3 * (C9 ^ (0)) * (C10 ^ (3))</f>
        <v>89.030649388638523</v>
      </c>
      <c r="F31" s="61">
        <f>C3 * (C9 ^ (0)) * (C10 ^ (4))</f>
        <v>85.64842639866751</v>
      </c>
      <c r="G31" s="61">
        <f>C3 * (C9 ^ (0)) * (C10 ^ (5))</f>
        <v>82.394692108177409</v>
      </c>
      <c r="H31" s="61">
        <f>C3 * (C9 ^ (0)) * (C10 ^ (6))</f>
        <v>79.264565305626817</v>
      </c>
      <c r="I31" s="61">
        <f>C3 * (C9 ^ (0)) * (C10 ^ (7))</f>
        <v>76.253350213883792</v>
      </c>
      <c r="J31" s="61">
        <f>C3 * (C9 ^ (0)) * (C10 ^ (8))</f>
        <v>73.356529445679655</v>
      </c>
      <c r="K31" s="61">
        <f t="shared" si="5"/>
        <v>70.569757226681034</v>
      </c>
      <c r="L31" s="61">
        <f t="shared" si="5"/>
        <v>67.88885287601353</v>
      </c>
      <c r="M31" s="61">
        <f t="shared" si="4"/>
        <v>65.309794534456429</v>
      </c>
      <c r="N31" s="61">
        <f t="shared" si="3"/>
        <v>62.828713130899793</v>
      </c>
      <c r="O31" s="61">
        <f t="shared" si="2"/>
        <v>60.441886578012252</v>
      </c>
      <c r="P31" s="61">
        <f t="shared" si="1"/>
        <v>58.145734188412113</v>
      </c>
      <c r="Q31" s="62">
        <f t="shared" si="0"/>
        <v>55.936811302964898</v>
      </c>
      <c r="R31" s="63">
        <v>0</v>
      </c>
    </row>
    <row r="32" spans="1:18" ht="13.5" thickBot="1" x14ac:dyDescent="0.35">
      <c r="A32" s="28"/>
      <c r="B32" s="34">
        <v>0</v>
      </c>
      <c r="C32" s="35">
        <v>1</v>
      </c>
      <c r="D32" s="35">
        <v>2</v>
      </c>
      <c r="E32" s="35">
        <v>3</v>
      </c>
      <c r="F32" s="35">
        <v>4</v>
      </c>
      <c r="G32" s="35">
        <v>5</v>
      </c>
      <c r="H32" s="35">
        <v>6</v>
      </c>
      <c r="I32" s="35">
        <v>7</v>
      </c>
      <c r="J32" s="35">
        <v>8</v>
      </c>
      <c r="K32" s="35">
        <v>9</v>
      </c>
      <c r="L32" s="35">
        <v>10</v>
      </c>
      <c r="M32" s="35">
        <v>11</v>
      </c>
      <c r="N32" s="35">
        <v>12</v>
      </c>
      <c r="O32" s="35">
        <v>13</v>
      </c>
      <c r="P32" s="35">
        <v>14</v>
      </c>
      <c r="Q32" s="36">
        <v>15</v>
      </c>
      <c r="R32" s="63"/>
    </row>
    <row r="34" spans="1:18" ht="13" thickBot="1" x14ac:dyDescent="0.3"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</row>
    <row r="35" spans="1:18" ht="13.5" thickBot="1" x14ac:dyDescent="0.35">
      <c r="B35" s="84" t="s">
        <v>24</v>
      </c>
      <c r="C35" s="85"/>
      <c r="D35" s="50"/>
      <c r="E35" s="50"/>
      <c r="F35" s="50"/>
      <c r="G35" s="50"/>
      <c r="H35" s="50"/>
      <c r="I35" s="50"/>
      <c r="J35" s="50"/>
      <c r="K35" s="65"/>
      <c r="L35" s="65"/>
      <c r="M35" s="65"/>
      <c r="N35" s="65"/>
      <c r="O35" s="65"/>
      <c r="P35" s="65"/>
      <c r="Q35" s="65"/>
      <c r="R35" s="66" t="s">
        <v>26</v>
      </c>
    </row>
    <row r="36" spans="1:18" x14ac:dyDescent="0.25">
      <c r="B36" s="67"/>
      <c r="C36" s="50"/>
      <c r="D36" s="50"/>
      <c r="E36" s="50"/>
      <c r="F36" s="50"/>
      <c r="G36" s="50"/>
      <c r="H36" s="50"/>
      <c r="I36" s="50"/>
      <c r="J36" s="50"/>
      <c r="K36" s="65"/>
      <c r="L36" s="65"/>
      <c r="M36" s="50"/>
      <c r="N36" s="50"/>
      <c r="O36" s="50"/>
      <c r="P36" s="50"/>
      <c r="Q36" s="50">
        <f t="shared" ref="Q36:Q50" si="6">Q16</f>
        <v>178.77315075823688</v>
      </c>
      <c r="R36" s="66">
        <v>15</v>
      </c>
    </row>
    <row r="37" spans="1:18" x14ac:dyDescent="0.25">
      <c r="B37" s="68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22"/>
      <c r="N37" s="22"/>
      <c r="O37" s="22"/>
      <c r="P37" s="22">
        <f>($C$11 *Q36 + $C$12 *Q37)</f>
        <v>172.01032793144265</v>
      </c>
      <c r="Q37" s="22">
        <f t="shared" si="6"/>
        <v>165.44817784754298</v>
      </c>
      <c r="R37" s="69">
        <v>14</v>
      </c>
    </row>
    <row r="38" spans="1:18" x14ac:dyDescent="0.25">
      <c r="B38" s="68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22"/>
      <c r="N38" s="22"/>
      <c r="O38" s="22">
        <f t="shared" ref="O38:O50" si="7">($C$11 *P37 + $C$12 *P38)</f>
        <v>165.50333643274561</v>
      </c>
      <c r="P38" s="22">
        <f t="shared" ref="P37:P50" si="8">($C$11 *Q37 + $C$12 *Q38)</f>
        <v>159.18942641281541</v>
      </c>
      <c r="Q38" s="22">
        <f t="shared" si="6"/>
        <v>153.11639044774742</v>
      </c>
      <c r="R38" s="69">
        <v>13</v>
      </c>
    </row>
    <row r="39" spans="1:18" x14ac:dyDescent="0.25">
      <c r="B39" s="68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22"/>
      <c r="N39" s="22"/>
      <c r="O39" s="22">
        <f t="shared" si="7"/>
        <v>153.16743775197469</v>
      </c>
      <c r="P39" s="22">
        <f t="shared" si="8"/>
        <v>147.32413911646825</v>
      </c>
      <c r="Q39" s="22">
        <f t="shared" si="6"/>
        <v>141.70376083168935</v>
      </c>
      <c r="R39" s="69">
        <v>12</v>
      </c>
    </row>
    <row r="40" spans="1:18" x14ac:dyDescent="0.25">
      <c r="A40" s="22"/>
      <c r="B40" s="68"/>
      <c r="C40" s="64"/>
      <c r="D40" s="64"/>
      <c r="E40" s="64"/>
      <c r="F40" s="64"/>
      <c r="G40" s="64"/>
      <c r="H40" s="64"/>
      <c r="I40" s="64"/>
      <c r="J40" s="64"/>
      <c r="K40" s="22"/>
      <c r="L40" s="22"/>
      <c r="M40" s="22"/>
      <c r="N40" s="22">
        <f t="shared" ref="N40:N50" si="9">($C$11 *O39 + $C$12 *O40)</f>
        <v>147.37325534842427</v>
      </c>
      <c r="O40" s="22">
        <f t="shared" si="7"/>
        <v>141.75100329193918</v>
      </c>
      <c r="P40" s="22">
        <f t="shared" si="8"/>
        <v>136.34323871564118</v>
      </c>
      <c r="Q40" s="22">
        <f t="shared" si="6"/>
        <v>131.14177897693534</v>
      </c>
      <c r="R40" s="69">
        <v>11</v>
      </c>
    </row>
    <row r="41" spans="1:18" x14ac:dyDescent="0.25">
      <c r="A41" s="22"/>
      <c r="B41" s="68"/>
      <c r="C41" s="64"/>
      <c r="D41" s="64"/>
      <c r="E41" s="64"/>
      <c r="F41" s="64"/>
      <c r="G41" s="64"/>
      <c r="H41" s="64"/>
      <c r="I41" s="64"/>
      <c r="J41" s="64"/>
      <c r="K41" s="22"/>
      <c r="L41" s="22">
        <f>$L$21</f>
        <v>147.29958713933712</v>
      </c>
      <c r="M41" s="22">
        <f t="shared" ref="M41:M50" si="10">($C$11 *N40 + $C$12 *N41)</f>
        <v>141.79826150230065</v>
      </c>
      <c r="N41" s="22">
        <f t="shared" si="9"/>
        <v>136.38869403734577</v>
      </c>
      <c r="O41" s="22">
        <f t="shared" si="7"/>
        <v>131.18550018972491</v>
      </c>
      <c r="P41" s="22">
        <f t="shared" si="8"/>
        <v>126.18080685863886</v>
      </c>
      <c r="Q41" s="22">
        <f t="shared" si="6"/>
        <v>121.36704130007331</v>
      </c>
      <c r="R41" s="69">
        <v>10</v>
      </c>
    </row>
    <row r="42" spans="1:18" x14ac:dyDescent="0.25">
      <c r="A42" s="22"/>
      <c r="B42" s="59"/>
      <c r="C42" s="22"/>
      <c r="D42" s="22"/>
      <c r="E42" s="22"/>
      <c r="F42" s="22"/>
      <c r="G42" s="22"/>
      <c r="H42" s="22"/>
      <c r="I42" s="22"/>
      <c r="J42" s="22"/>
      <c r="K42" s="22">
        <f>($C$11 *$L$41 + $C$12 *$L$42)</f>
        <v>141.72738009337849</v>
      </c>
      <c r="L42" s="22">
        <f>$L$22</f>
        <v>136.32051673607288</v>
      </c>
      <c r="M42" s="22">
        <f t="shared" si="10"/>
        <v>131.22923597868134</v>
      </c>
      <c r="N42" s="22">
        <f t="shared" si="9"/>
        <v>126.22287413841551</v>
      </c>
      <c r="O42" s="22">
        <f t="shared" si="7"/>
        <v>121.40750372386933</v>
      </c>
      <c r="P42" s="22">
        <f t="shared" si="8"/>
        <v>116.77583846092551</v>
      </c>
      <c r="Q42" s="22">
        <f t="shared" si="6"/>
        <v>112.3208700449637</v>
      </c>
      <c r="R42" s="69">
        <v>9</v>
      </c>
    </row>
    <row r="43" spans="1:18" x14ac:dyDescent="0.25">
      <c r="A43" s="22"/>
      <c r="B43" s="59"/>
      <c r="C43" s="22"/>
      <c r="D43" s="22"/>
      <c r="E43" s="22"/>
      <c r="F43" s="22"/>
      <c r="G43" s="22"/>
      <c r="H43" s="22"/>
      <c r="I43" s="22"/>
      <c r="J43" s="22">
        <f>($C$11 *$K$42 + $C$12 *$K$43)</f>
        <v>136.39305666489753</v>
      </c>
      <c r="K43" s="22">
        <f>($C$11 *$L$42 + $C$12 *$L$43)</f>
        <v>131.21701822203516</v>
      </c>
      <c r="L43" s="22">
        <f t="shared" ref="L43:L50" si="11">($C$11 *M42 + $C$12 *M43)</f>
        <v>126.26495544295608</v>
      </c>
      <c r="M43" s="22">
        <f t="shared" si="10"/>
        <v>121.44797963738807</v>
      </c>
      <c r="N43" s="22">
        <f t="shared" si="9"/>
        <v>116.81477022867996</v>
      </c>
      <c r="O43" s="22">
        <f t="shared" si="7"/>
        <v>112.35831657572039</v>
      </c>
      <c r="P43" s="22">
        <f t="shared" si="8"/>
        <v>108.07187549156612</v>
      </c>
      <c r="Q43" s="22">
        <f t="shared" si="6"/>
        <v>103.94896104013372</v>
      </c>
      <c r="R43" s="69">
        <v>8</v>
      </c>
    </row>
    <row r="44" spans="1:18" x14ac:dyDescent="0.25">
      <c r="A44" s="22"/>
      <c r="B44" s="59"/>
      <c r="C44" s="22"/>
      <c r="D44" s="22"/>
      <c r="E44" s="22"/>
      <c r="F44" s="22"/>
      <c r="G44" s="22"/>
      <c r="H44" s="22"/>
      <c r="I44" s="22">
        <f>($C$11 *$J$43 + $C$12 *$J$44)</f>
        <v>131.26011774892288</v>
      </c>
      <c r="J44" s="22">
        <f>($C$11 *$K$43 + $C$12 *$K$44)</f>
        <v>126.27948815078196</v>
      </c>
      <c r="K44" s="22">
        <f>($C$11 *$L$43 + $C$12 *$L$44)</f>
        <v>121.48846904512692</v>
      </c>
      <c r="L44" s="22">
        <f t="shared" si="11"/>
        <v>116.85371497585344</v>
      </c>
      <c r="M44" s="22">
        <f t="shared" si="10"/>
        <v>112.39577559073462</v>
      </c>
      <c r="N44" s="22">
        <f t="shared" si="9"/>
        <v>108.10790545472355</v>
      </c>
      <c r="O44" s="22">
        <f t="shared" si="7"/>
        <v>103.98361646939776</v>
      </c>
      <c r="P44" s="22">
        <f t="shared" si="8"/>
        <v>100.01666805563268</v>
      </c>
      <c r="Q44" s="22">
        <f t="shared" si="6"/>
        <v>96.201057710803724</v>
      </c>
      <c r="R44" s="69">
        <v>7</v>
      </c>
    </row>
    <row r="45" spans="1:18" x14ac:dyDescent="0.25">
      <c r="A45" s="22"/>
      <c r="B45" s="59"/>
      <c r="C45" s="22"/>
      <c r="D45" s="22"/>
      <c r="E45" s="22"/>
      <c r="F45" s="22"/>
      <c r="G45" s="22"/>
      <c r="H45" s="22">
        <f>($C$11 *$I$44 + $C$12 *$I$45)</f>
        <v>126.31438072130041</v>
      </c>
      <c r="I45" s="22">
        <f>($C$11 *$J$44 + $C$12 *$J$45)</f>
        <v>121.5153981836871</v>
      </c>
      <c r="J45" s="22">
        <f>($C$11 *$K$44 + $C$12 *$K$45)</f>
        <v>116.89267270677315</v>
      </c>
      <c r="K45" s="22">
        <f>($C$11 *$L$44 + $C$12 *$L$45)</f>
        <v>112.43324709416848</v>
      </c>
      <c r="L45" s="22">
        <f t="shared" si="11"/>
        <v>108.14394742987058</v>
      </c>
      <c r="M45" s="22">
        <f t="shared" si="10"/>
        <v>104.01828345239704</v>
      </c>
      <c r="N45" s="22">
        <f t="shared" si="9"/>
        <v>100.05001250208355</v>
      </c>
      <c r="O45" s="22">
        <f t="shared" si="7"/>
        <v>96.233130075137751</v>
      </c>
      <c r="P45" s="22">
        <f t="shared" si="8"/>
        <v>92.56186073805361</v>
      </c>
      <c r="Q45" s="22">
        <f t="shared" si="6"/>
        <v>89.030649388638494</v>
      </c>
      <c r="R45" s="69">
        <v>6</v>
      </c>
    </row>
    <row r="46" spans="1:18" x14ac:dyDescent="0.25">
      <c r="A46" s="22"/>
      <c r="B46" s="59"/>
      <c r="C46" s="22"/>
      <c r="D46" s="22"/>
      <c r="E46" s="22"/>
      <c r="F46" s="22"/>
      <c r="G46" s="22">
        <f>($C$11 *$H$45 + $C$12 *$H$46)</f>
        <v>121.5489678643553</v>
      </c>
      <c r="H46" s="22">
        <f>($C$11 *$I$45 + $C$12 *$I$46)</f>
        <v>116.92495875160405</v>
      </c>
      <c r="I46" s="22">
        <f>($C$11 *$J$45 + $C$12 *$J$46)</f>
        <v>112.47073109018547</v>
      </c>
      <c r="J46" s="22">
        <f>($C$11 *$K$45 + $C$12 *$K$46)</f>
        <v>108.18000142101189</v>
      </c>
      <c r="K46" s="22">
        <f>($C$11 *$L$45 + $C$12 *$L$46)</f>
        <v>104.0529619929835</v>
      </c>
      <c r="L46" s="22">
        <f t="shared" si="11"/>
        <v>100.08336806520256</v>
      </c>
      <c r="M46" s="22">
        <f t="shared" si="10"/>
        <v>96.265213132041879</v>
      </c>
      <c r="N46" s="22">
        <f t="shared" si="9"/>
        <v>92.592719834529987</v>
      </c>
      <c r="O46" s="22">
        <f t="shared" si="7"/>
        <v>89.060331218464853</v>
      </c>
      <c r="P46" s="22">
        <f t="shared" si="8"/>
        <v>85.662702326028153</v>
      </c>
      <c r="Q46" s="22">
        <f t="shared" si="6"/>
        <v>82.394692108177381</v>
      </c>
      <c r="R46" s="69">
        <v>5</v>
      </c>
    </row>
    <row r="47" spans="1:18" x14ac:dyDescent="0.25">
      <c r="A47" s="22"/>
      <c r="B47" s="59"/>
      <c r="C47" s="22"/>
      <c r="D47" s="22"/>
      <c r="E47" s="22"/>
      <c r="F47" s="22">
        <f>($C$11 *$G$46 + $C$12 *$G$47)</f>
        <v>116.95885061749797</v>
      </c>
      <c r="G47" s="22">
        <f>($C$11 *$H$46 + $C$12 *$H$47)</f>
        <v>112.50493558112666</v>
      </c>
      <c r="H47" s="22">
        <f>($C$11 *$I$46 + $C$12 *$I$47)</f>
        <v>108.21606743215348</v>
      </c>
      <c r="I47" s="22">
        <f>($C$11 *$J$46 + $C$12 *$J$47)</f>
        <v>104.0876520950103</v>
      </c>
      <c r="J47" s="22">
        <f>($C$11 *$K$46 + $C$12 *$K$47)</f>
        <v>100.11673474869592</v>
      </c>
      <c r="K47" s="22">
        <f>($C$11 *$L$46 + $C$12 *$L$47)</f>
        <v>96.297306885080872</v>
      </c>
      <c r="L47" s="22">
        <f t="shared" si="11"/>
        <v>92.623589219086412</v>
      </c>
      <c r="M47" s="22">
        <f t="shared" si="10"/>
        <v>89.090022943883639</v>
      </c>
      <c r="N47" s="22">
        <f t="shared" si="9"/>
        <v>85.691261319704665</v>
      </c>
      <c r="O47" s="22">
        <f t="shared" si="7"/>
        <v>82.422161583538312</v>
      </c>
      <c r="P47" s="22">
        <f t="shared" si="8"/>
        <v>79.277777167468969</v>
      </c>
      <c r="Q47" s="22">
        <f t="shared" si="6"/>
        <v>76.253350213883778</v>
      </c>
      <c r="R47" s="69">
        <v>4</v>
      </c>
    </row>
    <row r="48" spans="1:18" x14ac:dyDescent="0.25">
      <c r="A48" s="22"/>
      <c r="B48" s="59"/>
      <c r="C48" s="22"/>
      <c r="D48" s="22"/>
      <c r="E48" s="22">
        <f>($C$11 *$F$47 + $C$12 *$F$48)</f>
        <v>112.53911417959303</v>
      </c>
      <c r="F48" s="22">
        <f>($C$11 *$G$47 + $C$12 *$G$48)</f>
        <v>108.25052425499783</v>
      </c>
      <c r="G48" s="22">
        <f>($C$11 *$H$47 + $C$12 *$H$48)</f>
        <v>104.12235376233187</v>
      </c>
      <c r="H48" s="22">
        <f>($C$11 *$I$47 + $C$12 *$I$48)</f>
        <v>100.15011255627101</v>
      </c>
      <c r="I48" s="22">
        <f>($C$11 *$J$47 + $C$12 *$J$48)</f>
        <v>96.329411337820744</v>
      </c>
      <c r="J48" s="22">
        <f>($C$11 *$K$47 + $C$12 *$K$48)</f>
        <v>92.654468895152831</v>
      </c>
      <c r="K48" s="22">
        <f>($C$11 *$L$47 + $C$12 *$L$48)</f>
        <v>89.119724568193959</v>
      </c>
      <c r="L48" s="22">
        <f t="shared" si="11"/>
        <v>85.71982983463252</v>
      </c>
      <c r="M48" s="22">
        <f t="shared" si="10"/>
        <v>82.449640216917274</v>
      </c>
      <c r="N48" s="22">
        <f t="shared" si="9"/>
        <v>79.304207498001801</v>
      </c>
      <c r="O48" s="22">
        <f t="shared" si="7"/>
        <v>76.278772234056362</v>
      </c>
      <c r="P48" s="22">
        <f t="shared" si="8"/>
        <v>73.368756552817871</v>
      </c>
      <c r="Q48" s="22">
        <f t="shared" si="6"/>
        <v>70.56975722668102</v>
      </c>
      <c r="R48" s="69">
        <v>3</v>
      </c>
    </row>
    <row r="49" spans="1:18" x14ac:dyDescent="0.25">
      <c r="A49" s="22"/>
      <c r="B49" s="59"/>
      <c r="C49" s="22"/>
      <c r="D49" s="22">
        <f>($C$11 *$E$48 + $C$12 *$E$49)</f>
        <v>108.28456898711093</v>
      </c>
      <c r="E49" s="22">
        <f>($C$11 *$F$48 + $C$12 *$F$49)</f>
        <v>104.15626860029812</v>
      </c>
      <c r="F49" s="22">
        <f>($C$11 *$G$48 + $C$12 *$G$49)</f>
        <v>100.18350149163651</v>
      </c>
      <c r="G49" s="22">
        <f>($C$11 *$H$48 + $C$12 *$H$49)</f>
        <v>96.361526493828649</v>
      </c>
      <c r="H49" s="22">
        <f>($C$11 *$I$48 + $C$12 *$I$49)</f>
        <v>92.685358866160371</v>
      </c>
      <c r="I49" s="22">
        <f>($C$11 *$J$48 + $C$12 *$J$49)</f>
        <v>89.149436094696</v>
      </c>
      <c r="J49" s="22">
        <f>($C$11 *$K$48 + $C$12 *$K$49)</f>
        <v>85.748407873986011</v>
      </c>
      <c r="K49" s="22">
        <f>($C$11 *$L$48 + $C$12 *$L$49)</f>
        <v>82.477128011367483</v>
      </c>
      <c r="L49" s="22">
        <f t="shared" si="11"/>
        <v>79.330646640113358</v>
      </c>
      <c r="M49" s="22">
        <f t="shared" si="10"/>
        <v>76.304202729648182</v>
      </c>
      <c r="N49" s="22">
        <f t="shared" si="9"/>
        <v>73.393216881497096</v>
      </c>
      <c r="O49" s="22">
        <f t="shared" si="7"/>
        <v>70.593284400067631</v>
      </c>
      <c r="P49" s="22">
        <f t="shared" si="8"/>
        <v>67.900168627779308</v>
      </c>
      <c r="Q49" s="22">
        <f t="shared" si="6"/>
        <v>65.309794534456429</v>
      </c>
      <c r="R49" s="69">
        <v>2</v>
      </c>
    </row>
    <row r="50" spans="1:18" x14ac:dyDescent="0.25">
      <c r="A50" s="22"/>
      <c r="B50" s="59"/>
      <c r="C50" s="22">
        <f>($C$11 *$D$49 + $C$12 *$D$50)</f>
        <v>104.18978659113372</v>
      </c>
      <c r="D50" s="22">
        <f>($C$11 *$E$49 + $C$12 *$E$50)</f>
        <v>100.21650837114967</v>
      </c>
      <c r="E50" s="22">
        <f>($C$11 *$F$49 + $C$12 *$F$50)</f>
        <v>96.393652356672931</v>
      </c>
      <c r="F50" s="22">
        <f>($C$11 *$G$49 + $C$12 *$G$50)</f>
        <v>92.716259135541193</v>
      </c>
      <c r="G50" s="22">
        <f>($C$11 *$H$49 + $C$12 *$H$50)</f>
        <v>89.179157526691014</v>
      </c>
      <c r="H50" s="22">
        <f>($C$11 *$I$49 + $C$12 *$I$50)</f>
        <v>85.776995440940453</v>
      </c>
      <c r="I50" s="22">
        <f>($C$11 *$J$49 + $C$12 *$J$50)</f>
        <v>82.50462496994308</v>
      </c>
      <c r="J50" s="22">
        <f>($C$11 *$K$49 + $C$12 *$K$50)</f>
        <v>79.357094596741263</v>
      </c>
      <c r="K50" s="22">
        <f>($C$11 *$L$49 + $C$12 *$L$50)</f>
        <v>76.32964170348481</v>
      </c>
      <c r="L50" s="22">
        <f t="shared" si="11"/>
        <v>73.417685364978283</v>
      </c>
      <c r="M50" s="22">
        <f t="shared" si="10"/>
        <v>70.616819417152584</v>
      </c>
      <c r="N50" s="22">
        <f t="shared" si="9"/>
        <v>67.922805789972671</v>
      </c>
      <c r="O50" s="22">
        <f t="shared" si="7"/>
        <v>65.331568094693012</v>
      </c>
      <c r="P50" s="22">
        <f t="shared" si="8"/>
        <v>62.839185455757757</v>
      </c>
      <c r="Q50" s="22">
        <f t="shared" si="6"/>
        <v>60.441886578012237</v>
      </c>
      <c r="R50" s="69">
        <v>1</v>
      </c>
    </row>
    <row r="51" spans="1:18" ht="13" thickBot="1" x14ac:dyDescent="0.3">
      <c r="A51" s="22"/>
      <c r="B51" s="70">
        <f>($C$11 *$C$50 + $C$12 *$C$51)</f>
        <v>100.24916279439283</v>
      </c>
      <c r="C51" s="61">
        <f>($C$11 *$D$50 + $C$12 *$D$51)</f>
        <v>96.425468836901118</v>
      </c>
      <c r="D51" s="61">
        <f>($C$11 *$E$50 + $C$12 *$E$51)</f>
        <v>92.746920539114569</v>
      </c>
      <c r="E51" s="61">
        <f>($C$11 *$F$50 + $C$12 *$F$51)</f>
        <v>89.208397925785405</v>
      </c>
      <c r="F51" s="61">
        <f>($C$11 *$G$50 + $C$12 *$G$51)</f>
        <v>85.804625222956986</v>
      </c>
      <c r="G51" s="61">
        <f>($C$11 *$H$50 + $C$12 *$H$51)</f>
        <v>82.530225167356633</v>
      </c>
      <c r="H51" s="61">
        <f>($C$11 *$I$50 + $C$12 *$I$51)</f>
        <v>79.379796068609963</v>
      </c>
      <c r="I51" s="61">
        <f>($C$11 *$J$50 + $C$12 *$J$51)</f>
        <v>76.347689984769914</v>
      </c>
      <c r="J51" s="61">
        <f>($C$11 *$K$50 + $C$12 *$K$51)</f>
        <v>73.427583213867422</v>
      </c>
      <c r="K51" s="61">
        <f>($C$11 *L50 + $C$12 *L51)</f>
        <v>70.611637291748437</v>
      </c>
      <c r="L51" s="61">
        <f>$L$31</f>
        <v>67.88885287601353</v>
      </c>
      <c r="M51" s="61">
        <f>L31</f>
        <v>67.88885287601353</v>
      </c>
      <c r="N51" s="61">
        <f t="shared" ref="N51:P51" si="12">M31</f>
        <v>65.309794534456429</v>
      </c>
      <c r="O51" s="61">
        <f t="shared" si="12"/>
        <v>62.828713130899793</v>
      </c>
      <c r="P51" s="61">
        <f t="shared" si="12"/>
        <v>60.441886578012252</v>
      </c>
      <c r="Q51" s="61">
        <f>Q31</f>
        <v>55.936811302964898</v>
      </c>
      <c r="R51" s="45">
        <v>0</v>
      </c>
    </row>
    <row r="52" spans="1:18" ht="13.5" thickBot="1" x14ac:dyDescent="0.35">
      <c r="A52" s="28"/>
      <c r="B52" s="34" t="s">
        <v>13</v>
      </c>
      <c r="C52" s="35">
        <v>1</v>
      </c>
      <c r="D52" s="35">
        <v>2</v>
      </c>
      <c r="E52" s="35">
        <v>3</v>
      </c>
      <c r="F52" s="35">
        <v>4</v>
      </c>
      <c r="G52" s="35">
        <v>5</v>
      </c>
      <c r="H52" s="35">
        <v>6</v>
      </c>
      <c r="I52" s="35">
        <v>7</v>
      </c>
      <c r="J52" s="35">
        <v>8</v>
      </c>
      <c r="K52" s="35">
        <v>9</v>
      </c>
      <c r="L52" s="35">
        <v>10</v>
      </c>
      <c r="M52" s="35">
        <v>11</v>
      </c>
      <c r="N52" s="35">
        <v>12</v>
      </c>
      <c r="O52" s="35">
        <v>13</v>
      </c>
      <c r="P52" s="35">
        <v>14</v>
      </c>
      <c r="Q52" s="35">
        <v>15</v>
      </c>
      <c r="R52" s="45"/>
    </row>
    <row r="53" spans="1:18" x14ac:dyDescent="0.25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5" spans="1:18" ht="13" thickBot="1" x14ac:dyDescent="0.3"/>
    <row r="56" spans="1:18" ht="13.5" thickBot="1" x14ac:dyDescent="0.35">
      <c r="B56" s="82" t="s">
        <v>17</v>
      </c>
      <c r="C56" s="83"/>
      <c r="D56" s="71"/>
      <c r="E56" s="71"/>
      <c r="F56" s="71"/>
      <c r="G56" s="71"/>
      <c r="H56" s="72"/>
      <c r="I56" s="72"/>
      <c r="J56" s="72"/>
      <c r="K56" s="72"/>
      <c r="L56" s="72"/>
      <c r="M56" s="72"/>
      <c r="N56" s="72"/>
      <c r="O56" s="72"/>
      <c r="P56" s="72"/>
      <c r="Q56" s="73"/>
      <c r="R56" s="66" t="s">
        <v>26</v>
      </c>
    </row>
    <row r="57" spans="1:18" x14ac:dyDescent="0.25">
      <c r="B57" s="55"/>
      <c r="Q57" s="22">
        <f t="shared" ref="Q57:Q58" si="13">MAX($J$3*( Q36-$J$4), 0)</f>
        <v>0</v>
      </c>
      <c r="R57" s="66">
        <v>15</v>
      </c>
    </row>
    <row r="58" spans="1:18" x14ac:dyDescent="0.25">
      <c r="B58" s="55"/>
      <c r="H58" s="22"/>
      <c r="I58" s="22"/>
      <c r="J58" s="22"/>
      <c r="K58" s="22"/>
      <c r="L58" s="22"/>
      <c r="M58" s="22"/>
      <c r="N58" s="22"/>
      <c r="O58" s="22"/>
      <c r="P58" s="22">
        <f t="shared" ref="P58:P72" si="14">EXP(-$C$7 * $C$4/$C$6) * ($C$11 *Q57 + $C$12 *Q58)</f>
        <v>0</v>
      </c>
      <c r="Q58" s="22">
        <f t="shared" si="13"/>
        <v>0</v>
      </c>
      <c r="R58" s="69">
        <v>14</v>
      </c>
    </row>
    <row r="59" spans="1:18" x14ac:dyDescent="0.25">
      <c r="B59" s="55"/>
      <c r="H59" s="22"/>
      <c r="I59" s="22"/>
      <c r="J59" s="22"/>
      <c r="K59" s="22"/>
      <c r="L59" s="22"/>
      <c r="M59" s="22"/>
      <c r="N59" s="22"/>
      <c r="O59" s="22">
        <f t="shared" ref="O59:O72" si="15">EXP(-$C$7 * $C$4/$C$6) * ($C$11 *P58 + $C$12 *P59)</f>
        <v>0</v>
      </c>
      <c r="P59" s="22">
        <f t="shared" si="14"/>
        <v>0</v>
      </c>
      <c r="Q59" s="22">
        <f t="shared" ref="Q59" si="16">MAX($J$3*( Q38-$J$4), 0)</f>
        <v>0</v>
      </c>
      <c r="R59" s="69">
        <v>13</v>
      </c>
    </row>
    <row r="60" spans="1:18" x14ac:dyDescent="0.25">
      <c r="B60" s="55"/>
      <c r="H60" s="22"/>
      <c r="I60" s="22"/>
      <c r="J60" s="22"/>
      <c r="K60" s="22"/>
      <c r="L60" s="22"/>
      <c r="M60" s="22"/>
      <c r="N60" s="22">
        <f t="shared" ref="N60:N72" si="17">EXP(-$C$7 * $C$4/$C$6) * ($C$11 *O59 + $C$12 *O60)</f>
        <v>0</v>
      </c>
      <c r="O60" s="22">
        <f t="shared" si="15"/>
        <v>0</v>
      </c>
      <c r="P60" s="22">
        <f t="shared" si="14"/>
        <v>0</v>
      </c>
      <c r="Q60" s="22">
        <f t="shared" ref="Q60" si="18">MAX($J$3*( Q39-$J$4), 0)</f>
        <v>0</v>
      </c>
      <c r="R60" s="69">
        <v>12</v>
      </c>
    </row>
    <row r="61" spans="1:18" x14ac:dyDescent="0.25">
      <c r="A61" s="22"/>
      <c r="B61" s="55"/>
      <c r="H61" s="22"/>
      <c r="I61" s="22"/>
      <c r="J61" s="22"/>
      <c r="K61" s="22"/>
      <c r="L61" s="22"/>
      <c r="M61" s="22">
        <f t="shared" ref="M61:M72" si="19">EXP(-$C$7 * $C$4/$C$6) * ($C$11 *N60 + $C$12 *N61)</f>
        <v>0</v>
      </c>
      <c r="N61" s="22">
        <f t="shared" si="17"/>
        <v>0</v>
      </c>
      <c r="O61" s="22">
        <f t="shared" si="15"/>
        <v>0</v>
      </c>
      <c r="P61" s="22">
        <f t="shared" si="14"/>
        <v>0</v>
      </c>
      <c r="Q61" s="22">
        <f t="shared" ref="Q61" si="20">MAX($J$3*( Q40-$J$4), 0)</f>
        <v>0</v>
      </c>
      <c r="R61" s="69">
        <v>11</v>
      </c>
    </row>
    <row r="62" spans="1:18" x14ac:dyDescent="0.25">
      <c r="A62" s="22"/>
      <c r="B62" s="59"/>
      <c r="C62" s="22"/>
      <c r="D62" s="22"/>
      <c r="E62" s="22"/>
      <c r="F62" s="22"/>
      <c r="G62" s="22"/>
      <c r="H62" s="22"/>
      <c r="I62" s="22"/>
      <c r="J62" s="22"/>
      <c r="K62" s="22"/>
      <c r="L62" s="22">
        <f t="shared" ref="L62:L72" si="21">EXP(-$C$7 * $C$4/$C$6) * ($C$11 *M61 + $C$12 *M62)</f>
        <v>0</v>
      </c>
      <c r="M62" s="22">
        <f t="shared" si="19"/>
        <v>0</v>
      </c>
      <c r="N62" s="22">
        <f t="shared" si="17"/>
        <v>0</v>
      </c>
      <c r="O62" s="22">
        <f t="shared" si="15"/>
        <v>0</v>
      </c>
      <c r="P62" s="22">
        <f t="shared" si="14"/>
        <v>0</v>
      </c>
      <c r="Q62" s="22">
        <f t="shared" ref="Q62" si="22">MAX($J$3*( Q41-$J$4), 0)</f>
        <v>0</v>
      </c>
      <c r="R62" s="69">
        <v>10</v>
      </c>
    </row>
    <row r="63" spans="1:18" x14ac:dyDescent="0.25">
      <c r="A63" s="22"/>
      <c r="B63" s="59"/>
      <c r="C63" s="22"/>
      <c r="D63" s="22"/>
      <c r="E63" s="22"/>
      <c r="F63" s="22"/>
      <c r="G63" s="22"/>
      <c r="H63" s="22"/>
      <c r="I63" s="22"/>
      <c r="J63" s="22"/>
      <c r="K63" s="22">
        <f t="shared" ref="K63:K72" si="23">EXP(-$C$7 * $C$4/$C$6) * ($C$11 *L62 + $C$12 *L63)</f>
        <v>0</v>
      </c>
      <c r="L63" s="22">
        <f t="shared" si="21"/>
        <v>0</v>
      </c>
      <c r="M63" s="22">
        <f t="shared" si="19"/>
        <v>0</v>
      </c>
      <c r="N63" s="22">
        <f t="shared" si="17"/>
        <v>0</v>
      </c>
      <c r="O63" s="22">
        <f t="shared" si="15"/>
        <v>0</v>
      </c>
      <c r="P63" s="22">
        <f t="shared" si="14"/>
        <v>0</v>
      </c>
      <c r="Q63" s="22">
        <f t="shared" ref="Q63" si="24">MAX($J$3*( Q42-$J$4), 0)</f>
        <v>0</v>
      </c>
      <c r="R63" s="69">
        <v>9</v>
      </c>
    </row>
    <row r="64" spans="1:18" x14ac:dyDescent="0.25">
      <c r="A64" s="22"/>
      <c r="B64" s="59"/>
      <c r="C64" s="22"/>
      <c r="D64" s="22"/>
      <c r="E64" s="22"/>
      <c r="F64" s="22"/>
      <c r="G64" s="22"/>
      <c r="H64" s="22"/>
      <c r="I64" s="22"/>
      <c r="J64" s="22">
        <f t="shared" ref="J64:J72" si="25">EXP(-$C$7 * $C$4/$C$6) * ($C$11 *K63 + $C$12 *K64)</f>
        <v>5.2365869727484859E-2</v>
      </c>
      <c r="K64" s="22">
        <f t="shared" si="23"/>
        <v>0.10321228922823066</v>
      </c>
      <c r="L64" s="22">
        <f t="shared" si="21"/>
        <v>0.20342976643316782</v>
      </c>
      <c r="M64" s="22">
        <f t="shared" si="19"/>
        <v>0.40095680640841685</v>
      </c>
      <c r="N64" s="22">
        <f t="shared" si="17"/>
        <v>0.79027943365433095</v>
      </c>
      <c r="O64" s="22">
        <f t="shared" si="15"/>
        <v>1.5576280868040646</v>
      </c>
      <c r="P64" s="22">
        <f t="shared" si="14"/>
        <v>3.0700599730678495</v>
      </c>
      <c r="Q64" s="22">
        <f t="shared" ref="Q64" si="26">MAX($J$3*( Q43-$J$4), 0)</f>
        <v>6.0510389598662755</v>
      </c>
      <c r="R64" s="69">
        <v>8</v>
      </c>
    </row>
    <row r="65" spans="1:18" x14ac:dyDescent="0.25">
      <c r="A65" s="22"/>
      <c r="B65" s="59"/>
      <c r="C65" s="22"/>
      <c r="D65" s="22"/>
      <c r="E65" s="22"/>
      <c r="F65" s="22"/>
      <c r="G65" s="22"/>
      <c r="H65" s="22"/>
      <c r="I65" s="22">
        <f t="shared" ref="I65:I72" si="27">EXP(-$C$7 * $C$4/$C$6) * ($C$11 *J64 + $C$12 *J65)</f>
        <v>0.2668274495602958</v>
      </c>
      <c r="J65" s="22">
        <f t="shared" si="25"/>
        <v>0.47510060174752511</v>
      </c>
      <c r="K65" s="22">
        <f t="shared" si="23"/>
        <v>0.83626598633862625</v>
      </c>
      <c r="L65" s="22">
        <f t="shared" si="21"/>
        <v>1.4508734344918977</v>
      </c>
      <c r="M65" s="22">
        <f t="shared" si="19"/>
        <v>2.470589021151977</v>
      </c>
      <c r="N65" s="22">
        <f t="shared" si="17"/>
        <v>4.1026617994835366</v>
      </c>
      <c r="O65" s="22">
        <f t="shared" si="15"/>
        <v>6.5748718922128653</v>
      </c>
      <c r="P65" s="22">
        <f t="shared" si="14"/>
        <v>9.9800047216204604</v>
      </c>
      <c r="Q65" s="22">
        <f t="shared" ref="Q65" si="28">MAX($J$3*( Q44-$J$4), 0)</f>
        <v>13.798942289196276</v>
      </c>
      <c r="R65" s="69">
        <v>7</v>
      </c>
    </row>
    <row r="66" spans="1:18" x14ac:dyDescent="0.25">
      <c r="A66" s="22"/>
      <c r="B66" s="59"/>
      <c r="C66" s="22"/>
      <c r="D66" s="22"/>
      <c r="E66" s="22"/>
      <c r="F66" s="22"/>
      <c r="G66" s="22"/>
      <c r="H66" s="22">
        <f t="shared" ref="H66:H72" si="29">EXP(-$C$7 * $C$4/$C$6) * ($C$11 *I65 + $C$12 *I66)</f>
        <v>0.77205976634821738</v>
      </c>
      <c r="I66" s="22">
        <f t="shared" si="27"/>
        <v>1.2628075164752561</v>
      </c>
      <c r="J66" s="22">
        <f t="shared" si="25"/>
        <v>2.0279703815508814</v>
      </c>
      <c r="K66" s="22">
        <f t="shared" si="23"/>
        <v>3.1856455638082743</v>
      </c>
      <c r="L66" s="22">
        <f t="shared" si="21"/>
        <v>4.8710345310082337</v>
      </c>
      <c r="M66" s="22">
        <f t="shared" si="19"/>
        <v>7.2034515086408089</v>
      </c>
      <c r="N66" s="22">
        <f t="shared" si="17"/>
        <v>10.216963553921515</v>
      </c>
      <c r="O66" s="22">
        <f t="shared" si="15"/>
        <v>13.757695070203702</v>
      </c>
      <c r="P66" s="22">
        <f t="shared" si="14"/>
        <v>17.432327517536947</v>
      </c>
      <c r="Q66" s="22">
        <f>MAX($J$3*( Q45-$J$4), 0)</f>
        <v>20.969350611361506</v>
      </c>
      <c r="R66" s="69">
        <v>6</v>
      </c>
    </row>
    <row r="67" spans="1:18" x14ac:dyDescent="0.25">
      <c r="A67" s="22"/>
      <c r="B67" s="59"/>
      <c r="C67" s="22"/>
      <c r="D67" s="22"/>
      <c r="E67" s="22"/>
      <c r="F67" s="22"/>
      <c r="G67" s="22">
        <f t="shared" ref="G67:G72" si="30">EXP(-$C$7 * $C$4/$C$6) * ($C$11 *H66 + $C$12 *H67)</f>
        <v>1.6717429893533822</v>
      </c>
      <c r="H67" s="22">
        <f t="shared" si="29"/>
        <v>2.5458281216166117</v>
      </c>
      <c r="I67" s="22">
        <f t="shared" si="27"/>
        <v>3.7924500677091855</v>
      </c>
      <c r="J67" s="22">
        <f t="shared" si="25"/>
        <v>5.5070636824855095</v>
      </c>
      <c r="K67" s="22">
        <f t="shared" si="23"/>
        <v>7.7632160410030053</v>
      </c>
      <c r="L67" s="22">
        <f t="shared" si="21"/>
        <v>10.574677603845208</v>
      </c>
      <c r="M67" s="22">
        <f t="shared" si="19"/>
        <v>13.852815904651294</v>
      </c>
      <c r="N67" s="22">
        <f t="shared" si="17"/>
        <v>17.38988158604414</v>
      </c>
      <c r="O67" s="22">
        <f>EXP(-$C$7 * $C$4/$C$6) * ($C$11 *P66 + $C$12 *P67)</f>
        <v>20.925713654573304</v>
      </c>
      <c r="P67" s="22">
        <f t="shared" si="14"/>
        <v>24.329186593335731</v>
      </c>
      <c r="Q67" s="22">
        <f t="shared" ref="Q67" si="31">MAX($J$3*( Q46-$J$4), 0)</f>
        <v>27.605307891822619</v>
      </c>
      <c r="R67" s="69">
        <v>5</v>
      </c>
    </row>
    <row r="68" spans="1:18" x14ac:dyDescent="0.25">
      <c r="A68" s="22"/>
      <c r="B68" s="59"/>
      <c r="C68" s="22"/>
      <c r="D68" s="22"/>
      <c r="E68" s="22"/>
      <c r="F68" s="22">
        <f>EXP(-$C$7 * $C$4/$C$6) * ($C$11 *G67 + $C$12 *G68)</f>
        <v>3.0188932797708916</v>
      </c>
      <c r="G68" s="22">
        <f t="shared" si="30"/>
        <v>4.3280527452037649</v>
      </c>
      <c r="H68" s="22">
        <f t="shared" si="29"/>
        <v>6.0602365826432631</v>
      </c>
      <c r="I68" s="22">
        <f t="shared" si="27"/>
        <v>8.2647121151118181</v>
      </c>
      <c r="J68" s="22">
        <f t="shared" si="25"/>
        <v>10.945962015998681</v>
      </c>
      <c r="K68" s="22">
        <f t="shared" si="23"/>
        <v>14.041456844522898</v>
      </c>
      <c r="L68" s="22">
        <f t="shared" si="21"/>
        <v>17.414590225222028</v>
      </c>
      <c r="M68" s="22">
        <f t="shared" si="19"/>
        <v>20.882115665096478</v>
      </c>
      <c r="N68" s="22">
        <f t="shared" si="17"/>
        <v>24.284442091933922</v>
      </c>
      <c r="O68" s="22">
        <f t="shared" si="15"/>
        <v>27.559459317897598</v>
      </c>
      <c r="P68" s="22">
        <f t="shared" si="14"/>
        <v>30.711983798187376</v>
      </c>
      <c r="Q68" s="22">
        <f t="shared" ref="Q68" si="32">MAX($J$3*( Q47-$J$4), 0)</f>
        <v>33.746649786116222</v>
      </c>
      <c r="R68" s="69">
        <v>4</v>
      </c>
    </row>
    <row r="69" spans="1:18" x14ac:dyDescent="0.25">
      <c r="A69" s="22"/>
      <c r="B69" s="59"/>
      <c r="C69" s="22"/>
      <c r="D69" s="22"/>
      <c r="E69" s="22">
        <f>EXP(-$C$7 * $C$4/$C$6) * ($C$11 *F68 + $C$12 *F69)</f>
        <v>4.8121274205451314</v>
      </c>
      <c r="F69" s="22">
        <f>EXP(-$C$7 * $C$4/$C$6) * ($C$11 *G68 + $C$12 *G69)</f>
        <v>6.5553120720537992</v>
      </c>
      <c r="G69" s="22">
        <f t="shared" si="30"/>
        <v>8.7207881844459916</v>
      </c>
      <c r="H69" s="22">
        <f t="shared" si="29"/>
        <v>11.30812199121269</v>
      </c>
      <c r="I69" s="22">
        <f t="shared" si="27"/>
        <v>14.268653128142237</v>
      </c>
      <c r="J69" s="22">
        <f t="shared" si="25"/>
        <v>17.502123138585368</v>
      </c>
      <c r="K69" s="22">
        <f t="shared" si="23"/>
        <v>20.871598222036443</v>
      </c>
      <c r="L69" s="22">
        <f t="shared" si="21"/>
        <v>24.239736918823503</v>
      </c>
      <c r="M69" s="22">
        <f t="shared" si="19"/>
        <v>27.513650448366814</v>
      </c>
      <c r="N69" s="22">
        <f t="shared" si="17"/>
        <v>30.665112052277738</v>
      </c>
      <c r="O69" s="22">
        <f t="shared" si="15"/>
        <v>33.698754439374198</v>
      </c>
      <c r="P69" s="22">
        <f t="shared" si="14"/>
        <v>36.619035067542718</v>
      </c>
      <c r="Q69" s="22">
        <f t="shared" ref="Q69" si="33">MAX($J$3*( Q48-$J$4), 0)</f>
        <v>39.43024277331898</v>
      </c>
      <c r="R69" s="69">
        <v>3</v>
      </c>
    </row>
    <row r="70" spans="1:18" x14ac:dyDescent="0.25">
      <c r="A70" s="22"/>
      <c r="B70" s="59"/>
      <c r="C70" s="22"/>
      <c r="D70" s="22">
        <f>EXP(-$C$7 * $C$4/$C$6) * ($C$11 *E69 + $C$12 *E70)</f>
        <v>7.0067416869092778</v>
      </c>
      <c r="E70" s="22">
        <f>EXP(-$C$7 * $C$4/$C$6) * ($C$11 *F69 + $C$12 *F70)</f>
        <v>9.140837950704892</v>
      </c>
      <c r="F70" s="22">
        <f>EXP(-$C$7 * $C$4/$C$6) * ($C$11 *G69 + $C$12 *G70)</f>
        <v>11.65564819152938</v>
      </c>
      <c r="G70" s="22">
        <f t="shared" si="30"/>
        <v>14.511078736503647</v>
      </c>
      <c r="H70" s="22">
        <f t="shared" si="29"/>
        <v>17.628526494915853</v>
      </c>
      <c r="I70" s="22">
        <f t="shared" si="27"/>
        <v>20.900282504664464</v>
      </c>
      <c r="J70" s="22">
        <f t="shared" si="25"/>
        <v>24.211337624074922</v>
      </c>
      <c r="K70" s="22">
        <f t="shared" si="23"/>
        <v>27.467881253720382</v>
      </c>
      <c r="L70" s="22">
        <f t="shared" si="21"/>
        <v>30.618280343622818</v>
      </c>
      <c r="M70" s="22">
        <f t="shared" si="19"/>
        <v>33.650899479170313</v>
      </c>
      <c r="N70" s="22">
        <f t="shared" si="17"/>
        <v>36.570194632676341</v>
      </c>
      <c r="O70" s="22">
        <f t="shared" si="15"/>
        <v>39.380453211301308</v>
      </c>
      <c r="P70" s="22">
        <f t="shared" si="14"/>
        <v>42.085800433716287</v>
      </c>
      <c r="Q70" s="22">
        <f t="shared" ref="Q70" si="34">MAX($J$3*( Q49-$J$4), 0)</f>
        <v>44.690205465543571</v>
      </c>
      <c r="R70" s="69">
        <v>2</v>
      </c>
    </row>
    <row r="71" spans="1:18" x14ac:dyDescent="0.25">
      <c r="A71" s="22"/>
      <c r="B71" s="59"/>
      <c r="C71" s="93">
        <f>EXP(-$C$7 * $C$4/$C$6) * ($C$11 *D70 + $C$12 *D71)</f>
        <v>9.5315808580178238</v>
      </c>
      <c r="D71" s="22">
        <f>EXP(-$C$7 * $C$4/$C$6) * ($C$11 *E70 + $C$12 *E71)</f>
        <v>11.9877618167158</v>
      </c>
      <c r="E71" s="22">
        <f>EXP(-$C$7 * $C$4/$C$6) * ($C$11 *F70 + $C$12 *F71)</f>
        <v>14.758083703759036</v>
      </c>
      <c r="F71" s="22">
        <f>EXP(-$C$7 * $C$4/$C$6) * ($C$11 *G70 + $C$12 *G71)</f>
        <v>17.778155242142766</v>
      </c>
      <c r="G71" s="22">
        <f t="shared" si="30"/>
        <v>20.959966234076827</v>
      </c>
      <c r="H71" s="22">
        <f t="shared" si="29"/>
        <v>24.206320698493776</v>
      </c>
      <c r="I71" s="22">
        <f t="shared" si="27"/>
        <v>27.430159837851367</v>
      </c>
      <c r="J71" s="22">
        <f t="shared" si="25"/>
        <v>30.571488642607228</v>
      </c>
      <c r="K71" s="22">
        <f t="shared" si="23"/>
        <v>33.603084875767344</v>
      </c>
      <c r="L71" s="22">
        <f t="shared" si="21"/>
        <v>36.521394891184983</v>
      </c>
      <c r="M71" s="22">
        <f t="shared" si="19"/>
        <v>39.33070466712163</v>
      </c>
      <c r="N71" s="22">
        <f t="shared" si="17"/>
        <v>42.035138047403301</v>
      </c>
      <c r="O71" s="22">
        <f t="shared" si="15"/>
        <v>44.638662874816163</v>
      </c>
      <c r="P71" s="22">
        <f t="shared" si="14"/>
        <v>47.145096892481639</v>
      </c>
      <c r="Q71" s="22">
        <f t="shared" ref="Q71" si="35">MAX($J$3*( Q50-$J$4), 0)</f>
        <v>49.558113421987763</v>
      </c>
      <c r="R71" s="69">
        <v>1</v>
      </c>
    </row>
    <row r="72" spans="1:18" ht="13" thickBot="1" x14ac:dyDescent="0.3">
      <c r="A72" s="22"/>
      <c r="B72" s="70">
        <f>EXP(-$C$7 * $C$4/$C$6) * ($C$11 *C71 + $C$12 *C72)</f>
        <v>12.305137604415611</v>
      </c>
      <c r="C72" s="94">
        <f>EXP(-$C$7 * $C$4/$C$6) * ($C$11 *D71 + $C$12 *D72)</f>
        <v>15.004477868421239</v>
      </c>
      <c r="D72" s="61">
        <f>EXP(-$C$7 * $C$4/$C$6) * ($C$11 *E71 + $C$12 *E72)</f>
        <v>17.941535346181741</v>
      </c>
      <c r="E72" s="61">
        <f>EXP(-$C$7 * $C$4/$C$6) * ($C$11 *F71 + $C$12 *F72)</f>
        <v>21.042310191263972</v>
      </c>
      <c r="F72" s="61">
        <f>EXP(-$C$7 * $C$4/$C$6) * ($C$11 *G71 + $C$12 *G72)</f>
        <v>24.223430492776885</v>
      </c>
      <c r="G72" s="61">
        <f t="shared" si="30"/>
        <v>27.405970229412002</v>
      </c>
      <c r="H72" s="61">
        <f t="shared" si="29"/>
        <v>30.528679371118915</v>
      </c>
      <c r="I72" s="61">
        <f t="shared" si="27"/>
        <v>33.555310599448823</v>
      </c>
      <c r="J72" s="61">
        <f t="shared" si="25"/>
        <v>36.472635813234575</v>
      </c>
      <c r="K72" s="61">
        <f t="shared" si="23"/>
        <v>39.280997110832359</v>
      </c>
      <c r="L72" s="61">
        <f t="shared" si="21"/>
        <v>41.984516961681273</v>
      </c>
      <c r="M72" s="61">
        <f t="shared" si="19"/>
        <v>44.587161886172304</v>
      </c>
      <c r="N72" s="61">
        <f t="shared" si="17"/>
        <v>47.092748355056528</v>
      </c>
      <c r="O72" s="61">
        <f t="shared" si="15"/>
        <v>49.504948465684144</v>
      </c>
      <c r="P72" s="61">
        <f>EXP(-$C$7 * $C$4/$C$6) * ($C$11 *Q71 + $C$12 *Q72)</f>
        <v>51.827295403516658</v>
      </c>
      <c r="Q72" s="61">
        <f>MAX($J$3*( Q51-$J$4), 0)</f>
        <v>54.063188697035102</v>
      </c>
      <c r="R72" s="45">
        <v>0</v>
      </c>
    </row>
    <row r="73" spans="1:18" ht="13.5" thickBot="1" x14ac:dyDescent="0.35">
      <c r="A73" s="28"/>
      <c r="B73" s="34" t="s">
        <v>13</v>
      </c>
      <c r="C73" s="35">
        <v>1</v>
      </c>
      <c r="D73" s="35">
        <v>2</v>
      </c>
      <c r="E73" s="35">
        <v>3</v>
      </c>
      <c r="F73" s="35">
        <v>4</v>
      </c>
      <c r="G73" s="35">
        <v>5</v>
      </c>
      <c r="H73" s="35">
        <v>6</v>
      </c>
      <c r="I73" s="35">
        <v>7</v>
      </c>
      <c r="J73" s="35">
        <v>8</v>
      </c>
      <c r="K73" s="35">
        <v>9</v>
      </c>
      <c r="L73" s="35">
        <v>10</v>
      </c>
      <c r="M73" s="35">
        <v>11</v>
      </c>
      <c r="N73" s="35">
        <v>12</v>
      </c>
      <c r="O73" s="35">
        <v>13</v>
      </c>
      <c r="P73" s="35">
        <v>14</v>
      </c>
      <c r="Q73" s="35">
        <v>15</v>
      </c>
      <c r="R73" s="45"/>
    </row>
  </sheetData>
  <dataConsolidate/>
  <mergeCells count="6">
    <mergeCell ref="B56:C56"/>
    <mergeCell ref="B2:C2"/>
    <mergeCell ref="E2:F2"/>
    <mergeCell ref="I2:J2"/>
    <mergeCell ref="B15:C15"/>
    <mergeCell ref="B35:C35"/>
  </mergeCells>
  <phoneticPr fontId="6" type="noConversion"/>
  <dataValidations count="2">
    <dataValidation type="list" allowBlank="1" showInputMessage="1" showErrorMessage="1" sqref="J6" xr:uid="{00000000-0002-0000-0200-000000000000}">
      <formula1>"European, American"</formula1>
    </dataValidation>
    <dataValidation type="list" allowBlank="1" showInputMessage="1" showErrorMessage="1" sqref="J3" xr:uid="{00000000-0002-0000-0200-000001000000}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EuropeanCall_EG</vt:lpstr>
      <vt:lpstr>OptionsOnFuturesEG</vt:lpstr>
      <vt:lpstr>OptionsOnFuturesEG!FuturesLattice</vt:lpstr>
      <vt:lpstr>OptionsOnFuturesEG!FuturesOptionLattice</vt:lpstr>
      <vt:lpstr>EuropeanCall_EG!OptionLattice</vt:lpstr>
      <vt:lpstr>EuropeanCall_EG!StockLattice</vt:lpstr>
      <vt:lpstr>OptionsOnFuturesEG!StockLattice_2</vt:lpstr>
    </vt:vector>
  </TitlesOfParts>
  <Manager/>
  <Company>Columbia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mhaugh</dc:creator>
  <cp:keywords/>
  <dc:description/>
  <cp:lastModifiedBy>Heriberto Espino Montelongo</cp:lastModifiedBy>
  <cp:revision/>
  <cp:lastPrinted>2025-08-24T06:38:47Z</cp:lastPrinted>
  <dcterms:created xsi:type="dcterms:W3CDTF">2013-01-29T14:00:58Z</dcterms:created>
  <dcterms:modified xsi:type="dcterms:W3CDTF">2025-08-24T09:27:19Z</dcterms:modified>
  <cp:category/>
  <cp:contentStatus/>
</cp:coreProperties>
</file>