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eri\GitHub\.Semester\Demography\04-ASDR\"/>
    </mc:Choice>
  </mc:AlternateContent>
  <xr:revisionPtr revIDLastSave="0" documentId="13_ncr:1_{C48BA962-AB92-4872-91D7-A8480E57463D}" xr6:coauthVersionLast="47" xr6:coauthVersionMax="47" xr10:uidLastSave="{00000000-0000-0000-0000-000000000000}"/>
  <bookViews>
    <workbookView xWindow="-110" yWindow="-110" windowWidth="25820" windowHeight="16220" activeTab="3" xr2:uid="{FB18554B-1C1E-402D-9706-EA4E8C0B22FB}"/>
  </bookViews>
  <sheets>
    <sheet name="WHO 2019ASDRMex" sheetId="1" r:id="rId1"/>
    <sheet name="LT Mex 2019" sheetId="2" r:id="rId2"/>
    <sheet name="Hoja1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F16" i="4"/>
  <c r="F17" i="4"/>
  <c r="F18" i="4"/>
  <c r="F19" i="4"/>
  <c r="G3" i="2"/>
  <c r="H3" i="2"/>
  <c r="E8" i="4" l="1"/>
  <c r="D8" i="4"/>
  <c r="E7" i="4"/>
  <c r="D7" i="4"/>
  <c r="E6" i="4"/>
  <c r="D6" i="4"/>
  <c r="G5" i="4"/>
  <c r="E5" i="4"/>
  <c r="D5" i="4"/>
  <c r="H4" i="4"/>
  <c r="I4" i="4" s="1"/>
  <c r="E4" i="4"/>
  <c r="D4" i="4" s="1"/>
  <c r="G6" i="3"/>
  <c r="H6" i="3" s="1"/>
  <c r="D5" i="3"/>
  <c r="D9" i="3"/>
  <c r="D8" i="3"/>
  <c r="D7" i="3"/>
  <c r="D6" i="3"/>
  <c r="E9" i="3"/>
  <c r="E8" i="3"/>
  <c r="E7" i="3"/>
  <c r="E6" i="3"/>
  <c r="E5" i="3"/>
  <c r="G25" i="2"/>
  <c r="A25" i="2" s="1"/>
  <c r="G4" i="2"/>
  <c r="G26" i="2"/>
  <c r="H26" i="2" s="1"/>
  <c r="O26" i="2" s="1"/>
  <c r="A3" i="2"/>
  <c r="G28" i="2"/>
  <c r="A28" i="2" s="1"/>
  <c r="G29" i="2"/>
  <c r="A29" i="2" s="1"/>
  <c r="G30" i="2"/>
  <c r="A30" i="2" s="1"/>
  <c r="G31" i="2"/>
  <c r="H31" i="2" s="1"/>
  <c r="O31" i="2" s="1"/>
  <c r="G32" i="2"/>
  <c r="A32" i="2" s="1"/>
  <c r="G33" i="2"/>
  <c r="A33" i="2" s="1"/>
  <c r="G41" i="2"/>
  <c r="A41" i="2" s="1"/>
  <c r="G42" i="2"/>
  <c r="A42" i="2" s="1"/>
  <c r="G27" i="2"/>
  <c r="A27" i="2" s="1"/>
  <c r="G43" i="2"/>
  <c r="A43" i="2" s="1"/>
  <c r="H4" i="2"/>
  <c r="H5" i="2"/>
  <c r="O5" i="2" s="1"/>
  <c r="H6" i="2"/>
  <c r="O6" i="2" s="1"/>
  <c r="H7" i="2"/>
  <c r="H19" i="2"/>
  <c r="H20" i="2"/>
  <c r="Q21" i="2"/>
  <c r="J3" i="2"/>
  <c r="T22" i="2"/>
  <c r="G21" i="2"/>
  <c r="A21" i="2" s="1"/>
  <c r="G6" i="2"/>
  <c r="A6" i="2" s="1"/>
  <c r="G7" i="2"/>
  <c r="A7" i="2" s="1"/>
  <c r="G8" i="2"/>
  <c r="H8" i="2" s="1"/>
  <c r="G9" i="2"/>
  <c r="H9" i="2" s="1"/>
  <c r="G10" i="2"/>
  <c r="A10" i="2" s="1"/>
  <c r="G11" i="2"/>
  <c r="A11" i="2" s="1"/>
  <c r="G12" i="2"/>
  <c r="G34" i="2" s="1"/>
  <c r="G13" i="2"/>
  <c r="G35" i="2" s="1"/>
  <c r="G14" i="2"/>
  <c r="G36" i="2" s="1"/>
  <c r="G15" i="2"/>
  <c r="A15" i="2" s="1"/>
  <c r="G16" i="2"/>
  <c r="A16" i="2" s="1"/>
  <c r="G17" i="2"/>
  <c r="A17" i="2" s="1"/>
  <c r="G18" i="2"/>
  <c r="H18" i="2" s="1"/>
  <c r="G19" i="2"/>
  <c r="G20" i="2"/>
  <c r="A20" i="2" s="1"/>
  <c r="G5" i="2"/>
  <c r="A5" i="2" s="1"/>
  <c r="O43" i="2"/>
  <c r="A31" i="2"/>
  <c r="A19" i="2"/>
  <c r="A14" i="2"/>
  <c r="A13" i="2"/>
  <c r="A12" i="2"/>
  <c r="G6" i="4" l="1"/>
  <c r="H5" i="4"/>
  <c r="A34" i="2"/>
  <c r="H34" i="2"/>
  <c r="O34" i="2" s="1"/>
  <c r="A36" i="2"/>
  <c r="H36" i="2"/>
  <c r="O36" i="2" s="1"/>
  <c r="A35" i="2"/>
  <c r="H35" i="2"/>
  <c r="O35" i="2" s="1"/>
  <c r="Q9" i="2"/>
  <c r="O9" i="2"/>
  <c r="Q8" i="2"/>
  <c r="I4" i="2"/>
  <c r="Q20" i="2"/>
  <c r="H33" i="2"/>
  <c r="O33" i="2" s="1"/>
  <c r="H16" i="2"/>
  <c r="H15" i="2"/>
  <c r="H14" i="2"/>
  <c r="O14" i="2" s="1"/>
  <c r="H28" i="2"/>
  <c r="O28" i="2" s="1"/>
  <c r="H27" i="2"/>
  <c r="O27" i="2" s="1"/>
  <c r="H12" i="2"/>
  <c r="Q12" i="2" s="1"/>
  <c r="G38" i="2"/>
  <c r="H42" i="2"/>
  <c r="O42" i="2" s="1"/>
  <c r="H32" i="2"/>
  <c r="O32" i="2" s="1"/>
  <c r="H30" i="2"/>
  <c r="O30" i="2" s="1"/>
  <c r="G40" i="2"/>
  <c r="G39" i="2"/>
  <c r="A8" i="2"/>
  <c r="H11" i="2"/>
  <c r="Q11" i="2" s="1"/>
  <c r="G37" i="2"/>
  <c r="H41" i="2"/>
  <c r="O41" i="2" s="1"/>
  <c r="H29" i="2"/>
  <c r="O29" i="2" s="1"/>
  <c r="H13" i="2"/>
  <c r="O13" i="2" s="1"/>
  <c r="H10" i="2"/>
  <c r="Q4" i="2"/>
  <c r="A18" i="2"/>
  <c r="H17" i="2"/>
  <c r="O17" i="2" s="1"/>
  <c r="H25" i="2"/>
  <c r="A9" i="2"/>
  <c r="T21" i="2"/>
  <c r="Q14" i="2"/>
  <c r="J4" i="2"/>
  <c r="A4" i="2"/>
  <c r="O18" i="2"/>
  <c r="O21" i="2"/>
  <c r="O3" i="2"/>
  <c r="Q5" i="2"/>
  <c r="O4" i="2"/>
  <c r="O8" i="2"/>
  <c r="O12" i="2"/>
  <c r="O20" i="2"/>
  <c r="O7" i="2"/>
  <c r="O19" i="2"/>
  <c r="H6" i="4" l="1"/>
  <c r="I5" i="4"/>
  <c r="G7" i="4"/>
  <c r="O16" i="2"/>
  <c r="I5" i="2"/>
  <c r="Q13" i="2"/>
  <c r="K4" i="2"/>
  <c r="Q19" i="2"/>
  <c r="H39" i="2"/>
  <c r="A39" i="2"/>
  <c r="O15" i="2"/>
  <c r="O11" i="2"/>
  <c r="A37" i="2"/>
  <c r="H37" i="2"/>
  <c r="O37" i="2" s="1"/>
  <c r="K3" i="2"/>
  <c r="A40" i="2"/>
  <c r="H40" i="2"/>
  <c r="J25" i="2"/>
  <c r="I26" i="2" s="1"/>
  <c r="O25" i="2"/>
  <c r="H38" i="2"/>
  <c r="O38" i="2" s="1"/>
  <c r="A38" i="2"/>
  <c r="Q3" i="2"/>
  <c r="Q10" i="2"/>
  <c r="O10" i="2"/>
  <c r="Q6" i="2"/>
  <c r="Q7" i="2"/>
  <c r="J5" i="2"/>
  <c r="I6" i="4" l="1"/>
  <c r="H7" i="4"/>
  <c r="G8" i="4" s="1"/>
  <c r="O40" i="2"/>
  <c r="Q18" i="2"/>
  <c r="Q15" i="2"/>
  <c r="O39" i="2"/>
  <c r="Q17" i="2"/>
  <c r="I6" i="2"/>
  <c r="K25" i="2"/>
  <c r="J26" i="2"/>
  <c r="I27" i="2" s="1"/>
  <c r="Q16" i="2"/>
  <c r="J6" i="2"/>
  <c r="I8" i="4" l="1"/>
  <c r="J8" i="4" s="1"/>
  <c r="K8" i="4" s="1"/>
  <c r="H8" i="4"/>
  <c r="I7" i="4"/>
  <c r="J7" i="4" s="1"/>
  <c r="K7" i="4" s="1"/>
  <c r="J6" i="4"/>
  <c r="K6" i="4" s="1"/>
  <c r="J4" i="4"/>
  <c r="K4" i="4" s="1"/>
  <c r="J5" i="4"/>
  <c r="K5" i="4" s="1"/>
  <c r="I7" i="2"/>
  <c r="J7" i="2" s="1"/>
  <c r="K26" i="2"/>
  <c r="J27" i="2"/>
  <c r="I28" i="2" s="1"/>
  <c r="K5" i="2"/>
  <c r="J28" i="2" l="1"/>
  <c r="I29" i="2" s="1"/>
  <c r="K27" i="2"/>
  <c r="I8" i="2"/>
  <c r="K6" i="2"/>
  <c r="J8" i="2"/>
  <c r="K7" i="2"/>
  <c r="K28" i="2" l="1"/>
  <c r="J29" i="2"/>
  <c r="I30" i="2"/>
  <c r="I9" i="2"/>
  <c r="J30" i="2" l="1"/>
  <c r="K29" i="2"/>
  <c r="I31" i="2"/>
  <c r="J9" i="2"/>
  <c r="I10" i="2" s="1"/>
  <c r="K8" i="2"/>
  <c r="J10" i="2" l="1"/>
  <c r="I11" i="2" s="1"/>
  <c r="K9" i="2"/>
  <c r="K30" i="2"/>
  <c r="J31" i="2"/>
  <c r="I32" i="2" s="1"/>
  <c r="I12" i="2" l="1"/>
  <c r="J12" i="2" s="1"/>
  <c r="K10" i="2"/>
  <c r="J11" i="2"/>
  <c r="K31" i="2"/>
  <c r="J32" i="2"/>
  <c r="I33" i="2" s="1"/>
  <c r="K11" i="2" l="1"/>
  <c r="K32" i="2"/>
  <c r="J33" i="2"/>
  <c r="I34" i="2" s="1"/>
  <c r="I13" i="2"/>
  <c r="K12" i="2"/>
  <c r="J13" i="2"/>
  <c r="K33" i="2" l="1"/>
  <c r="J34" i="2"/>
  <c r="I35" i="2" s="1"/>
  <c r="I14" i="2"/>
  <c r="K13" i="2" s="1"/>
  <c r="J14" i="2"/>
  <c r="I15" i="2" l="1"/>
  <c r="J35" i="2"/>
  <c r="I36" i="2" s="1"/>
  <c r="K34" i="2"/>
  <c r="K35" i="2" l="1"/>
  <c r="J36" i="2"/>
  <c r="I37" i="2"/>
  <c r="J15" i="2"/>
  <c r="I16" i="2" s="1"/>
  <c r="K14" i="2"/>
  <c r="K15" i="2" l="1"/>
  <c r="J16" i="2"/>
  <c r="I17" i="2" s="1"/>
  <c r="K36" i="2"/>
  <c r="J37" i="2"/>
  <c r="I38" i="2" s="1"/>
  <c r="K37" i="2" l="1"/>
  <c r="J38" i="2"/>
  <c r="I39" i="2"/>
  <c r="K16" i="2"/>
  <c r="J17" i="2"/>
  <c r="I18" i="2" s="1"/>
  <c r="A26" i="2"/>
  <c r="K17" i="2" l="1"/>
  <c r="J18" i="2"/>
  <c r="I19" i="2" s="1"/>
  <c r="K38" i="2"/>
  <c r="J39" i="2"/>
  <c r="I40" i="2"/>
  <c r="I20" i="2" l="1"/>
  <c r="K18" i="2"/>
  <c r="J19" i="2"/>
  <c r="K39" i="2"/>
  <c r="J40" i="2"/>
  <c r="I41" i="2"/>
  <c r="J20" i="2" l="1"/>
  <c r="I21" i="2" s="1"/>
  <c r="K19" i="2"/>
  <c r="J41" i="2"/>
  <c r="K40" i="2"/>
  <c r="I42" i="2"/>
  <c r="J21" i="2" l="1"/>
  <c r="K21" i="2"/>
  <c r="K20" i="2"/>
  <c r="K41" i="2"/>
  <c r="J42" i="2"/>
  <c r="I43" i="2" s="1"/>
  <c r="L17" i="2"/>
  <c r="M17" i="2" s="1"/>
  <c r="L18" i="2"/>
  <c r="M18" i="2" s="1"/>
  <c r="L21" i="2"/>
  <c r="M21" i="2" s="1"/>
  <c r="L4" i="2"/>
  <c r="M4" i="2" s="1"/>
  <c r="L5" i="2"/>
  <c r="M5" i="2" s="1"/>
  <c r="L6" i="2"/>
  <c r="M6" i="2" s="1"/>
  <c r="L9" i="2"/>
  <c r="M9" i="2" s="1"/>
  <c r="L7" i="2"/>
  <c r="M7" i="2" s="1"/>
  <c r="L10" i="2"/>
  <c r="M10" i="2" s="1"/>
  <c r="L12" i="2"/>
  <c r="M12" i="2" s="1"/>
  <c r="L16" i="2"/>
  <c r="M16" i="2" s="1"/>
  <c r="L14" i="2"/>
  <c r="M14" i="2" s="1"/>
  <c r="J43" i="2" l="1"/>
  <c r="K42" i="2"/>
  <c r="K43" i="2"/>
  <c r="L43" i="2" s="1"/>
  <c r="M43" i="2" s="1"/>
  <c r="L31" i="2"/>
  <c r="M31" i="2" s="1"/>
  <c r="L30" i="2"/>
  <c r="M30" i="2" s="1"/>
  <c r="L20" i="2"/>
  <c r="M20" i="2" s="1"/>
  <c r="L15" i="2"/>
  <c r="M15" i="2" s="1"/>
  <c r="L19" i="2"/>
  <c r="M19" i="2" s="1"/>
  <c r="L13" i="2"/>
  <c r="M13" i="2" s="1"/>
  <c r="L11" i="2"/>
  <c r="M11" i="2" s="1"/>
  <c r="L28" i="2"/>
  <c r="M28" i="2" s="1"/>
  <c r="L3" i="2"/>
  <c r="M3" i="2" s="1"/>
  <c r="L8" i="2"/>
  <c r="M8" i="2" s="1"/>
  <c r="L29" i="2"/>
  <c r="M29" i="2" s="1"/>
  <c r="L32" i="2" l="1"/>
  <c r="M32" i="2" s="1"/>
  <c r="L42" i="2"/>
  <c r="M42" i="2" s="1"/>
  <c r="L34" i="2"/>
  <c r="M34" i="2" s="1"/>
  <c r="L38" i="2"/>
  <c r="M38" i="2" s="1"/>
  <c r="L37" i="2"/>
  <c r="M37" i="2" s="1"/>
  <c r="L39" i="2"/>
  <c r="M39" i="2" s="1"/>
  <c r="L27" i="2"/>
  <c r="M27" i="2" s="1"/>
  <c r="L33" i="2"/>
  <c r="M33" i="2" s="1"/>
  <c r="L25" i="2"/>
  <c r="M25" i="2" s="1"/>
  <c r="L36" i="2"/>
  <c r="M36" i="2" s="1"/>
  <c r="L35" i="2"/>
  <c r="M35" i="2" s="1"/>
  <c r="L40" i="2"/>
  <c r="M40" i="2" s="1"/>
  <c r="L26" i="2"/>
  <c r="M26" i="2" s="1"/>
  <c r="L41" i="2"/>
  <c r="M41" i="2" s="1"/>
  <c r="H5" i="3"/>
  <c r="I5" i="3" l="1"/>
  <c r="G7" i="3"/>
  <c r="H7" i="3" l="1"/>
  <c r="G8" i="3" s="1"/>
  <c r="I6" i="3"/>
  <c r="H8" i="3" l="1"/>
  <c r="G9" i="3" s="1"/>
  <c r="I7" i="3"/>
  <c r="H9" i="3" l="1"/>
  <c r="I8" i="3"/>
  <c r="I9" i="3"/>
  <c r="J9" i="3" s="1"/>
  <c r="K9" i="3" s="1"/>
  <c r="J8" i="3"/>
  <c r="K8" i="3" s="1"/>
  <c r="J6" i="3"/>
  <c r="K6" i="3" s="1"/>
  <c r="J5" i="3" l="1"/>
  <c r="K5" i="3" s="1"/>
  <c r="J7" i="3"/>
  <c r="K7" i="3" s="1"/>
</calcChain>
</file>

<file path=xl/sharedStrings.xml><?xml version="1.0" encoding="utf-8"?>
<sst xmlns="http://schemas.openxmlformats.org/spreadsheetml/2006/main" count="175" uniqueCount="61">
  <si>
    <t xml:space="preserve">Global Health Observatory data repository (WHO) </t>
  </si>
  <si>
    <t>Indicator</t>
  </si>
  <si>
    <t>Age Group</t>
  </si>
  <si>
    <t>Both sexes</t>
  </si>
  <si>
    <t>Male</t>
  </si>
  <si>
    <t>Female</t>
  </si>
  <si>
    <t>nMx - age-specific death rate between ages x and x+n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</si>
  <si>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</si>
  <si>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</si>
  <si>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</si>
  <si>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</si>
  <si>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</si>
  <si>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</si>
  <si>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</si>
  <si>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</si>
  <si>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</si>
  <si>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</si>
  <si>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</si>
  <si>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</si>
  <si>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</si>
  <si>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</si>
  <si>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</si>
  <si>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</si>
  <si>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</si>
  <si>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</si>
  <si>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</si>
  <si>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Males</t>
  </si>
  <si>
    <t>Age</t>
  </si>
  <si>
    <t>h</t>
  </si>
  <si>
    <t>M_[x,h]</t>
  </si>
  <si>
    <t>a_x,h</t>
  </si>
  <si>
    <t>q_x,h</t>
  </si>
  <si>
    <t>l_x M</t>
  </si>
  <si>
    <t>d_x,h</t>
  </si>
  <si>
    <t>L_x,h</t>
  </si>
  <si>
    <t>T_x</t>
  </si>
  <si>
    <t>e_x</t>
  </si>
  <si>
    <t>log(10) [q] (M)</t>
  </si>
  <si>
    <t>qM/QF</t>
  </si>
  <si>
    <t>infty</t>
  </si>
  <si>
    <t>Females</t>
  </si>
  <si>
    <t>l_x F</t>
  </si>
  <si>
    <t>log10[q] (F)</t>
  </si>
  <si>
    <t xml:space="preserve">Realizar: </t>
  </si>
  <si>
    <t>b) Graficar Log10(q), hombres y mujeres</t>
  </si>
  <si>
    <t>c) Graficar la sobremortalidad masculina</t>
  </si>
  <si>
    <t>a) Gráficos de supervivientes a la edad x</t>
  </si>
  <si>
    <t>Factores de Separación</t>
  </si>
  <si>
    <t xml:space="preserve">En promedio, los que llegan a los 85 años van a vivir </t>
  </si>
  <si>
    <t>Pasos</t>
  </si>
  <si>
    <t>if m_0 &lt; 0.107</t>
  </si>
  <si>
    <t>Probabilidad de Muerte</t>
  </si>
  <si>
    <t>Factor de separacion es el tiempo promedio que vivieron</t>
  </si>
  <si>
    <t>Años Persona vividos arriba de x</t>
  </si>
  <si>
    <t>Expectativa de Vida</t>
  </si>
  <si>
    <t>Supervivientes a la edad x</t>
  </si>
  <si>
    <t>numero de muertes</t>
  </si>
  <si>
    <t>años vividos por la cohorte</t>
  </si>
  <si>
    <t>Tasas de Mortalidad en la cohorte</t>
  </si>
  <si>
    <t>Intervalo</t>
  </si>
  <si>
    <t>mueren en promedio aquí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</si>
</sst>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70" formatCode="0.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D86422"/>
      <name val="Arial"/>
      <family val="2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3" fontId="0" fillId="3" borderId="5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 Mex 2019'!$I$24</c:f>
              <c:strCache>
                <c:ptCount val="1"/>
                <c:pt idx="0">
                  <c:v>l_x F</c:v>
                </c:pt>
              </c:strCache>
            </c:strRef>
          </c:tx>
          <c:marker>
            <c:symbol val="none"/>
          </c:marker>
          <c:val>
            <c:numRef>
              <c:f>'LT Mex 2019'!$I$25:$I$43</c:f>
              <c:numCache>
                <c:formatCode>0.000</c:formatCode>
                <c:ptCount val="19"/>
                <c:pt idx="0">
                  <c:v>1</c:v>
                </c:pt>
                <c:pt idx="1">
                  <c:v>0.98897380833973036</c:v>
                </c:pt>
                <c:pt idx="2">
                  <c:v>0.98713007260871344</c:v>
                </c:pt>
                <c:pt idx="3">
                  <c:v>0.98612191350335898</c:v>
                </c:pt>
                <c:pt idx="4">
                  <c:v>0.98492290230384327</c:v>
                </c:pt>
                <c:pt idx="5">
                  <c:v>0.98294342556464032</c:v>
                </c:pt>
                <c:pt idx="6">
                  <c:v>0.98020886240088023</c:v>
                </c:pt>
                <c:pt idx="7">
                  <c:v>0.97696843245499265</c:v>
                </c:pt>
                <c:pt idx="8">
                  <c:v>0.97316350078806313</c:v>
                </c:pt>
                <c:pt idx="9">
                  <c:v>0.96771573420293244</c:v>
                </c:pt>
                <c:pt idx="10">
                  <c:v>0.95960369490878694</c:v>
                </c:pt>
                <c:pt idx="11">
                  <c:v>0.94789386306252255</c:v>
                </c:pt>
                <c:pt idx="12">
                  <c:v>0.92900300866242325</c:v>
                </c:pt>
                <c:pt idx="13">
                  <c:v>0.9001017451416583</c:v>
                </c:pt>
                <c:pt idx="14">
                  <c:v>0.85741079452741831</c:v>
                </c:pt>
                <c:pt idx="15">
                  <c:v>0.79279103213229407</c:v>
                </c:pt>
                <c:pt idx="16">
                  <c:v>0.70469647751760733</c:v>
                </c:pt>
                <c:pt idx="17">
                  <c:v>0.58254587076915076</c:v>
                </c:pt>
                <c:pt idx="18">
                  <c:v>0.41625121491069533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1-42D3-AF52-3F1A93FE192C}"/>
            </c:ext>
          </c:extLst>
        </c:ser>
        <c:ser>
          <c:idx val="0"/>
          <c:order val="1"/>
          <c:tx>
            <c:strRef>
              <c:f>'LT Mex 2019'!$I$2</c:f>
              <c:strCache>
                <c:ptCount val="1"/>
                <c:pt idx="0">
                  <c:v>l_x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'LT Mex 2019'!$I$3:$I$21</c:f>
              <c:numCache>
                <c:formatCode>0.000</c:formatCode>
                <c:ptCount val="19"/>
                <c:pt idx="0">
                  <c:v>1</c:v>
                </c:pt>
                <c:pt idx="1">
                  <c:v>0.98652928504413184</c:v>
                </c:pt>
                <c:pt idx="2">
                  <c:v>0.98443704813467048</c:v>
                </c:pt>
                <c:pt idx="3">
                  <c:v>0.98329328028464769</c:v>
                </c:pt>
                <c:pt idx="4">
                  <c:v>0.98166258306321397</c:v>
                </c:pt>
                <c:pt idx="5">
                  <c:v>0.97673033622411276</c:v>
                </c:pt>
                <c:pt idx="6">
                  <c:v>0.9684004836867911</c:v>
                </c:pt>
                <c:pt idx="7">
                  <c:v>0.9581330568965889</c:v>
                </c:pt>
                <c:pt idx="8">
                  <c:v>0.94649086698415485</c:v>
                </c:pt>
                <c:pt idx="9">
                  <c:v>0.93218350760650193</c:v>
                </c:pt>
                <c:pt idx="10">
                  <c:v>0.91330130060732562</c:v>
                </c:pt>
                <c:pt idx="11">
                  <c:v>0.8899305191158825</c:v>
                </c:pt>
                <c:pt idx="12">
                  <c:v>0.85739349811980581</c:v>
                </c:pt>
                <c:pt idx="13">
                  <c:v>0.81306451620827613</c:v>
                </c:pt>
                <c:pt idx="14">
                  <c:v>0.75454658152488863</c:v>
                </c:pt>
                <c:pt idx="15">
                  <c:v>0.67222123999698158</c:v>
                </c:pt>
                <c:pt idx="16">
                  <c:v>0.57116895434620385</c:v>
                </c:pt>
                <c:pt idx="17">
                  <c:v>0.44169827858729716</c:v>
                </c:pt>
                <c:pt idx="18">
                  <c:v>0.28258000528699156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1-42D3-AF52-3F1A93FE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85472"/>
        <c:axId val="1481369152"/>
      </c:lineChart>
      <c:catAx>
        <c:axId val="14813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369152"/>
        <c:crosses val="autoZero"/>
        <c:auto val="1"/>
        <c:lblAlgn val="ctr"/>
        <c:lblOffset val="100"/>
        <c:noMultiLvlLbl val="0"/>
      </c:catAx>
      <c:valAx>
        <c:axId val="14813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38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Log10(q)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 Mex 2019'!$O$24</c:f>
              <c:strCache>
                <c:ptCount val="1"/>
                <c:pt idx="0">
                  <c:v>log10[q] (F)</c:v>
                </c:pt>
              </c:strCache>
            </c:strRef>
          </c:tx>
          <c:marker>
            <c:symbol val="none"/>
          </c:marker>
          <c:val>
            <c:numRef>
              <c:f>'LT Mex 2019'!$O$25:$O$43</c:f>
              <c:numCache>
                <c:formatCode>General</c:formatCode>
                <c:ptCount val="19"/>
                <c:pt idx="0">
                  <c:v>-1.957574462766047</c:v>
                </c:pt>
                <c:pt idx="1">
                  <c:v>-2.7294861177791669</c:v>
                </c:pt>
                <c:pt idx="2">
                  <c:v>-2.9908453058789148</c:v>
                </c:pt>
                <c:pt idx="3">
                  <c:v>-2.9151073700571053</c:v>
                </c:pt>
                <c:pt idx="4">
                  <c:v>-2.6968518334369769</c:v>
                </c:pt>
                <c:pt idx="5">
                  <c:v>-2.5556405629441103</c:v>
                </c:pt>
                <c:pt idx="6">
                  <c:v>-2.4807159878203442</c:v>
                </c:pt>
                <c:pt idx="7">
                  <c:v>-2.4095336694898273</c:v>
                </c:pt>
                <c:pt idx="8">
                  <c:v>-2.2519673204977124</c:v>
                </c:pt>
                <c:pt idx="9">
                  <c:v>-2.0766177566659305</c:v>
                </c:pt>
                <c:pt idx="10">
                  <c:v>-1.9135412529014693</c:v>
                </c:pt>
                <c:pt idx="11">
                  <c:v>-1.7005081107880251</c:v>
                </c:pt>
                <c:pt idx="12">
                  <c:v>-1.5071002906108251</c:v>
                </c:pt>
                <c:pt idx="13">
                  <c:v>-1.3239557782260143</c:v>
                </c:pt>
                <c:pt idx="14">
                  <c:v>-1.1228235900403982</c:v>
                </c:pt>
                <c:pt idx="15">
                  <c:v>-0.95420966465326007</c:v>
                </c:pt>
                <c:pt idx="16">
                  <c:v>-0.76110647209722504</c:v>
                </c:pt>
                <c:pt idx="17">
                  <c:v>-0.544451835513174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6-4F87-9E99-0001F6B125FB}"/>
            </c:ext>
          </c:extLst>
        </c:ser>
        <c:ser>
          <c:idx val="0"/>
          <c:order val="1"/>
          <c:tx>
            <c:strRef>
              <c:f>'LT Mex 2019'!$O$2</c:f>
              <c:strCache>
                <c:ptCount val="1"/>
                <c:pt idx="0">
                  <c:v>log(10) [q]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'LT Mex 2019'!$O$3:$O$21</c:f>
              <c:numCache>
                <c:formatCode>General</c:formatCode>
                <c:ptCount val="19"/>
                <c:pt idx="0">
                  <c:v>-1.8706093535607349</c:v>
                </c:pt>
                <c:pt idx="1">
                  <c:v>-2.6734991224965481</c:v>
                </c:pt>
                <c:pt idx="2">
                  <c:v>-2.934850064630171</c:v>
                </c:pt>
                <c:pt idx="3">
                  <c:v>-2.7803097400515089</c:v>
                </c:pt>
                <c:pt idx="4">
                  <c:v>-2.2989174346338213</c:v>
                </c:pt>
                <c:pt idx="5">
                  <c:v>-2.0691373634650883</c:v>
                </c:pt>
                <c:pt idx="6">
                  <c:v>-1.9745933827984421</c:v>
                </c:pt>
                <c:pt idx="7">
                  <c:v>-1.9153911447700795</c:v>
                </c:pt>
                <c:pt idx="8">
                  <c:v>-1.8205569415999876</c:v>
                </c:pt>
                <c:pt idx="9">
                  <c:v>-1.6934486606872339</c:v>
                </c:pt>
                <c:pt idx="10">
                  <c:v>-1.5919408411835354</c:v>
                </c:pt>
                <c:pt idx="11">
                  <c:v>-1.4369783130796989</c:v>
                </c:pt>
                <c:pt idx="12">
                  <c:v>-1.2864924286756829</c:v>
                </c:pt>
                <c:pt idx="13">
                  <c:v>-1.1428360181338124</c:v>
                </c:pt>
                <c:pt idx="14">
                  <c:v>-0.96215251480922703</c:v>
                </c:pt>
                <c:pt idx="15">
                  <c:v>-0.82296608958762585</c:v>
                </c:pt>
                <c:pt idx="16">
                  <c:v>-0.64459317874848587</c:v>
                </c:pt>
                <c:pt idx="17">
                  <c:v>-0.44340564938386695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6-4F87-9E99-0001F6B1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5231088"/>
        <c:axId val="1645233488"/>
      </c:lineChart>
      <c:catAx>
        <c:axId val="16452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233488"/>
        <c:crosses val="autoZero"/>
        <c:auto val="1"/>
        <c:lblAlgn val="ctr"/>
        <c:lblOffset val="100"/>
        <c:noMultiLvlLbl val="0"/>
      </c:catAx>
      <c:valAx>
        <c:axId val="16452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23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'LT Mex 2019'!$Q$2</c:f>
              <c:strCache>
                <c:ptCount val="1"/>
                <c:pt idx="0">
                  <c:v>qM/QF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'LT Mex 2019'!$Q$3:$Q$21</c:f>
              <c:numCache>
                <c:formatCode>General</c:formatCode>
                <c:ptCount val="19"/>
                <c:pt idx="0">
                  <c:v>1.2217015059158407</c:v>
                </c:pt>
                <c:pt idx="1">
                  <c:v>1.1375932206891757</c:v>
                </c:pt>
                <c:pt idx="2">
                  <c:v>1.1376148204207115</c:v>
                </c:pt>
                <c:pt idx="3">
                  <c:v>1.3639474242700382</c:v>
                </c:pt>
                <c:pt idx="4">
                  <c:v>2.499967707207412</c:v>
                </c:pt>
                <c:pt idx="5">
                  <c:v>3.0655132632016766</c:v>
                </c:pt>
                <c:pt idx="6">
                  <c:v>3.2071746093542499</c:v>
                </c:pt>
                <c:pt idx="7">
                  <c:v>3.1199132945725583</c:v>
                </c:pt>
                <c:pt idx="8">
                  <c:v>2.7002898184402992</c:v>
                </c:pt>
                <c:pt idx="9">
                  <c:v>2.4164014962694211</c:v>
                </c:pt>
                <c:pt idx="10">
                  <c:v>2.0970095665414399</c:v>
                </c:pt>
                <c:pt idx="11">
                  <c:v>1.8345510345731384</c:v>
                </c:pt>
                <c:pt idx="12">
                  <c:v>1.6619113809591897</c:v>
                </c:pt>
                <c:pt idx="13">
                  <c:v>1.5174687636211199</c:v>
                </c:pt>
                <c:pt idx="14">
                  <c:v>1.4476750020919193</c:v>
                </c:pt>
                <c:pt idx="15">
                  <c:v>1.3528310889121706</c:v>
                </c:pt>
                <c:pt idx="16">
                  <c:v>1.3077155662605344</c:v>
                </c:pt>
                <c:pt idx="17">
                  <c:v>1.2619617339211326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2-4BC0-90F7-36340D85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28688"/>
        <c:axId val="1645243088"/>
      </c:lineChart>
      <c:catAx>
        <c:axId val="1645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243088"/>
        <c:crosses val="autoZero"/>
        <c:auto val="1"/>
        <c:lblAlgn val="ctr"/>
        <c:lblOffset val="100"/>
        <c:noMultiLvlLbl val="0"/>
      </c:catAx>
      <c:valAx>
        <c:axId val="16452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2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172409</xdr:colOff>
      <xdr:row>14</xdr:row>
      <xdr:rowOff>157465</xdr:rowOff>
    </xdr:from>
    <xdr:to>
      <xdr:col>27</xdr:col>
      <xdr:colOff>511076</xdr:colOff>
      <xdr:row>29</xdr:row>
      <xdr:rowOff>148998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BD7C4-DC72-0C5B-D153-4676EE2AA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250298</xdr:colOff>
      <xdr:row>30</xdr:row>
      <xdr:rowOff>166663</xdr:rowOff>
    </xdr:from>
    <xdr:to>
      <xdr:col>27</xdr:col>
      <xdr:colOff>588965</xdr:colOff>
      <xdr:row>45</xdr:row>
      <xdr:rowOff>178355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8E490-038A-D3D0-C0BE-DC9AC47D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304660</xdr:colOff>
      <xdr:row>48</xdr:row>
      <xdr:rowOff>21086</xdr:rowOff>
    </xdr:from>
    <xdr:to>
      <xdr:col>27</xdr:col>
      <xdr:colOff>600562</xdr:colOff>
      <xdr:row>62</xdr:row>
      <xdr:rowOff>175952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3F67CC-016D-6278-647E-C6A6C683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7F52-9167-4CDB-A747-583921B3020A}">
  <dimension ref="A1:E21"/>
  <sheetViews>
    <sheetView zoomScale="110" zoomScaleNormal="110" workbookViewId="0">
      <selection activeCell="A13" sqref="A13"/>
    </sheetView>
  </sheetViews>
  <sheetFormatPr baseColWidth="10" defaultColWidth="8.7265625" defaultRowHeight="14.5" x14ac:dyDescent="0.35"/>
  <cols>
    <col min="1" max="1" width="54" customWidth="1"/>
    <col min="2" max="2" width="16.453125" customWidth="1"/>
    <col min="3" max="5" width="12.54296875" customWidth="1"/>
  </cols>
  <sheetData>
    <row r="1" spans="1:5" x14ac:dyDescent="0.35">
      <c r="A1" s="1" t="s">
        <v>0</v>
      </c>
      <c r="C1" s="2">
        <v>2019</v>
      </c>
      <c r="D1" s="2">
        <v>2019</v>
      </c>
      <c r="E1" s="2">
        <v>2019</v>
      </c>
    </row>
    <row r="2" spans="1:5" x14ac:dyDescent="0.35">
      <c r="A2" t="s">
        <v>1</v>
      </c>
      <c r="B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t="s">
        <v>6</v>
      </c>
      <c r="B3" t="s">
        <v>7</v>
      </c>
      <c r="C3" s="3">
        <v>1.2418243000000001E-2</v>
      </c>
      <c r="D3" s="3">
        <v>1.3639454000000001E-2</v>
      </c>
      <c r="E3" s="3">
        <v>1.1138669E-2</v>
      </c>
    </row>
    <row r="4" spans="1:5" x14ac:dyDescent="0.35">
      <c r="A4" t="s">
        <v>6</v>
      </c>
      <c r="B4" t="s">
        <v>8</v>
      </c>
      <c r="C4" s="3">
        <v>4.9946300000000001E-4</v>
      </c>
      <c r="D4" s="3">
        <v>5.3086300000000002E-4</v>
      </c>
      <c r="E4" s="3">
        <v>4.6661199999999998E-4</v>
      </c>
    </row>
    <row r="5" spans="1:5" x14ac:dyDescent="0.35">
      <c r="A5" t="s">
        <v>6</v>
      </c>
      <c r="B5" t="s">
        <v>9</v>
      </c>
      <c r="C5" s="3">
        <v>2.1875400000000001E-4</v>
      </c>
      <c r="D5" s="3">
        <v>2.3250500000000001E-4</v>
      </c>
      <c r="E5" s="3">
        <v>2.04365E-4</v>
      </c>
    </row>
    <row r="6" spans="1:5" x14ac:dyDescent="0.35">
      <c r="A6" t="s">
        <v>6</v>
      </c>
      <c r="B6" t="s">
        <v>10</v>
      </c>
      <c r="C6" s="3">
        <v>2.8858300000000003E-4</v>
      </c>
      <c r="D6" s="3">
        <v>3.31956E-4</v>
      </c>
      <c r="E6" s="3">
        <v>2.4332499999999999E-4</v>
      </c>
    </row>
    <row r="7" spans="1:5" x14ac:dyDescent="0.35">
      <c r="A7" t="s">
        <v>6</v>
      </c>
      <c r="B7" t="s">
        <v>11</v>
      </c>
      <c r="C7" s="3">
        <v>7.0929900000000004E-4</v>
      </c>
      <c r="D7" s="3">
        <v>1.0074070000000001E-3</v>
      </c>
      <c r="E7" s="3">
        <v>4.0235999999999999E-4</v>
      </c>
    </row>
    <row r="8" spans="1:5" x14ac:dyDescent="0.35">
      <c r="A8" t="s">
        <v>6</v>
      </c>
      <c r="B8" t="s">
        <v>12</v>
      </c>
      <c r="C8" s="3">
        <v>1.1382499999999999E-3</v>
      </c>
      <c r="D8" s="3">
        <v>1.7129650000000001E-3</v>
      </c>
      <c r="E8" s="3">
        <v>5.5717799999999997E-4</v>
      </c>
    </row>
    <row r="9" spans="1:5" x14ac:dyDescent="0.35">
      <c r="A9" t="s">
        <v>6</v>
      </c>
      <c r="B9" t="s">
        <v>13</v>
      </c>
      <c r="C9" s="3">
        <v>1.3927340000000001E-3</v>
      </c>
      <c r="D9" s="3">
        <v>2.1317929999999999E-3</v>
      </c>
      <c r="E9" s="3">
        <v>6.62266E-4</v>
      </c>
    </row>
    <row r="10" spans="1:5" x14ac:dyDescent="0.35">
      <c r="A10" t="s">
        <v>6</v>
      </c>
      <c r="B10" t="s">
        <v>14</v>
      </c>
      <c r="C10" s="3">
        <v>1.5851120000000001E-3</v>
      </c>
      <c r="D10" s="3">
        <v>2.4450370000000002E-3</v>
      </c>
      <c r="E10" s="3">
        <v>7.8044599999999996E-4</v>
      </c>
    </row>
    <row r="11" spans="1:5" x14ac:dyDescent="0.35">
      <c r="A11" t="s">
        <v>6</v>
      </c>
      <c r="B11" t="s">
        <v>15</v>
      </c>
      <c r="C11" s="3">
        <v>2.0405430000000001E-3</v>
      </c>
      <c r="D11" s="3">
        <v>3.0462670000000001E-3</v>
      </c>
      <c r="E11" s="3">
        <v>1.1227419999999999E-3</v>
      </c>
    </row>
    <row r="12" spans="1:5" x14ac:dyDescent="0.35">
      <c r="A12" t="s">
        <v>6</v>
      </c>
      <c r="B12" t="s">
        <v>16</v>
      </c>
      <c r="C12" s="3">
        <v>2.8218879999999998E-3</v>
      </c>
      <c r="D12" s="3">
        <v>4.0926280000000001E-3</v>
      </c>
      <c r="E12" s="3">
        <v>1.68359E-3</v>
      </c>
    </row>
    <row r="13" spans="1:5" x14ac:dyDescent="0.35">
      <c r="A13" t="s">
        <v>6</v>
      </c>
      <c r="B13" t="s">
        <v>17</v>
      </c>
      <c r="C13" s="3">
        <v>3.7432390000000002E-3</v>
      </c>
      <c r="D13" s="3">
        <v>5.1841989999999996E-3</v>
      </c>
      <c r="E13" s="3">
        <v>2.4555380000000002E-3</v>
      </c>
    </row>
    <row r="14" spans="1:5" x14ac:dyDescent="0.35">
      <c r="A14" t="s">
        <v>6</v>
      </c>
      <c r="B14" t="s">
        <v>18</v>
      </c>
      <c r="C14" s="3">
        <v>5.6281430000000004E-3</v>
      </c>
      <c r="D14" s="3">
        <v>7.448423E-3</v>
      </c>
      <c r="E14" s="3">
        <v>4.0259759999999997E-3</v>
      </c>
    </row>
    <row r="15" spans="1:5" x14ac:dyDescent="0.35">
      <c r="A15" t="s">
        <v>6</v>
      </c>
      <c r="B15" t="s">
        <v>19</v>
      </c>
      <c r="C15" s="3">
        <v>8.3427350000000004E-3</v>
      </c>
      <c r="D15" s="3">
        <v>1.0614808999999999E-2</v>
      </c>
      <c r="E15" s="3">
        <v>6.3203080000000002E-3</v>
      </c>
    </row>
    <row r="16" spans="1:5" x14ac:dyDescent="0.35">
      <c r="A16" t="s">
        <v>6</v>
      </c>
      <c r="B16" t="s">
        <v>20</v>
      </c>
      <c r="C16" s="3">
        <v>1.2141126E-2</v>
      </c>
      <c r="D16" s="3">
        <v>1.4931748E-2</v>
      </c>
      <c r="E16" s="3">
        <v>9.7162210000000006E-3</v>
      </c>
    </row>
    <row r="17" spans="1:5" x14ac:dyDescent="0.35">
      <c r="A17" t="s">
        <v>6</v>
      </c>
      <c r="B17" t="s">
        <v>21</v>
      </c>
      <c r="C17" s="3">
        <v>1.9090903999999999E-2</v>
      </c>
      <c r="D17" s="3">
        <v>2.3080235000000001E-2</v>
      </c>
      <c r="E17" s="3">
        <v>1.5663481E-2</v>
      </c>
    </row>
    <row r="18" spans="1:5" x14ac:dyDescent="0.35">
      <c r="A18" t="s">
        <v>6</v>
      </c>
      <c r="B18" t="s">
        <v>22</v>
      </c>
      <c r="C18" s="3">
        <v>2.7642849000000001E-2</v>
      </c>
      <c r="D18" s="3">
        <v>3.2508632000000003E-2</v>
      </c>
      <c r="E18" s="3">
        <v>2.3531296E-2</v>
      </c>
    </row>
    <row r="19" spans="1:5" x14ac:dyDescent="0.35">
      <c r="A19" t="s">
        <v>6</v>
      </c>
      <c r="B19" t="s">
        <v>23</v>
      </c>
      <c r="C19" s="3">
        <v>4.3893521999999997E-2</v>
      </c>
      <c r="D19" s="3">
        <v>5.1130363999999998E-2</v>
      </c>
      <c r="E19" s="3">
        <v>3.7957299E-2</v>
      </c>
    </row>
    <row r="20" spans="1:5" x14ac:dyDescent="0.35">
      <c r="A20" t="s">
        <v>6</v>
      </c>
      <c r="B20" t="s">
        <v>24</v>
      </c>
      <c r="C20" s="3">
        <v>7.5757330999999997E-2</v>
      </c>
      <c r="D20" s="3">
        <v>8.7876870999999995E-2</v>
      </c>
      <c r="E20" s="3">
        <v>6.6597974000000004E-2</v>
      </c>
    </row>
    <row r="21" spans="1:5" x14ac:dyDescent="0.35">
      <c r="A21" t="s">
        <v>6</v>
      </c>
      <c r="B21" t="s">
        <v>25</v>
      </c>
      <c r="C21" s="3">
        <v>0.13449271300000001</v>
      </c>
      <c r="D21" s="3">
        <v>0.14493041400000001</v>
      </c>
      <c r="E21" s="3">
        <v>0.12750497799999999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7DCF-8C06-416A-B0C2-1C88181CD0F3}">
  <dimension ref="A1:U43"/>
  <sheetViews>
    <sheetView topLeftCell="C8" zoomScale="208" zoomScaleNormal="63" workbookViewId="0">
      <selection activeCell="G10" sqref="G10"/>
    </sheetView>
  </sheetViews>
  <sheetFormatPr baseColWidth="10" defaultColWidth="8.7265625" defaultRowHeight="14.5" x14ac:dyDescent="0.35"/>
  <cols>
    <col min="2" max="2" width="11.54296875" customWidth="1"/>
    <col min="6" max="6" width="26.453125" bestFit="1" customWidth="1"/>
    <col min="7" max="7" width="20.453125" bestFit="1" customWidth="1"/>
    <col min="8" max="8" width="19.54296875" bestFit="1" customWidth="1"/>
    <col min="9" max="9" width="22.6328125" bestFit="1" customWidth="1"/>
    <col min="10" max="10" width="17.453125" bestFit="1" customWidth="1"/>
    <col min="11" max="11" width="21.1796875" bestFit="1" customWidth="1"/>
    <col min="12" max="12" width="27" bestFit="1" customWidth="1"/>
    <col min="13" max="13" width="17.26953125" bestFit="1" customWidth="1"/>
    <col min="15" max="15" width="14.81640625" customWidth="1"/>
  </cols>
  <sheetData>
    <row r="1" spans="1:19" ht="15" thickBot="1" x14ac:dyDescent="0.4">
      <c r="B1" s="4" t="s">
        <v>26</v>
      </c>
      <c r="C1" s="5"/>
      <c r="D1" s="2"/>
      <c r="E1" s="2"/>
      <c r="F1" s="30" t="s">
        <v>58</v>
      </c>
      <c r="G1" s="30" t="s">
        <v>47</v>
      </c>
      <c r="H1" s="30" t="s">
        <v>51</v>
      </c>
      <c r="I1" s="30" t="s">
        <v>55</v>
      </c>
      <c r="J1" s="30" t="s">
        <v>56</v>
      </c>
      <c r="K1" s="30" t="s">
        <v>57</v>
      </c>
      <c r="L1" s="30" t="s">
        <v>53</v>
      </c>
      <c r="M1" s="30" t="s">
        <v>54</v>
      </c>
    </row>
    <row r="2" spans="1:19" ht="15" thickBot="1" x14ac:dyDescent="0.4">
      <c r="A2" s="4" t="s">
        <v>27</v>
      </c>
      <c r="B2" s="4" t="s">
        <v>2</v>
      </c>
      <c r="C2" s="5"/>
      <c r="D2" s="6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8" t="s">
        <v>36</v>
      </c>
      <c r="O2" s="9" t="s">
        <v>37</v>
      </c>
      <c r="Q2" s="9" t="s">
        <v>38</v>
      </c>
    </row>
    <row r="3" spans="1:19" x14ac:dyDescent="0.35">
      <c r="A3" s="10">
        <f>G3</f>
        <v>8.1608294535999992E-2</v>
      </c>
      <c r="B3" s="2" t="s">
        <v>7</v>
      </c>
      <c r="C3" s="11"/>
      <c r="D3" s="12">
        <v>0</v>
      </c>
      <c r="E3" s="2">
        <v>1</v>
      </c>
      <c r="F3" s="3">
        <v>1.3639454000000001E-2</v>
      </c>
      <c r="G3" s="13">
        <f>2.684*F3+0.045</f>
        <v>8.1608294535999992E-2</v>
      </c>
      <c r="H3" s="3">
        <f>(E3*F3)/(1+(E3-G3)*F3)</f>
        <v>1.3470714955868135E-2</v>
      </c>
      <c r="I3" s="36">
        <v>1</v>
      </c>
      <c r="J3" s="35">
        <f>I3*H3</f>
        <v>1.3470714955868135E-2</v>
      </c>
      <c r="K3" s="35">
        <f t="shared" ref="K3:K20" si="0">(I4*E3)+(J3*G3)</f>
        <v>0.98762860711786082</v>
      </c>
      <c r="L3" s="35">
        <f>SUM(K3:K$21)</f>
        <v>73.347228925715143</v>
      </c>
      <c r="M3" s="10">
        <f t="shared" ref="M3:M21" si="1">L3/I3</f>
        <v>73.347228925715143</v>
      </c>
      <c r="O3">
        <f>LOG10(H3)</f>
        <v>-1.8706093535607349</v>
      </c>
      <c r="Q3">
        <f>H3/H25</f>
        <v>1.2217015059158407</v>
      </c>
      <c r="S3" s="25" t="s">
        <v>43</v>
      </c>
    </row>
    <row r="4" spans="1:19" x14ac:dyDescent="0.35">
      <c r="A4" s="10">
        <f>D4+G4</f>
        <v>2.6495050897920001</v>
      </c>
      <c r="B4" s="2" t="s">
        <v>8</v>
      </c>
      <c r="C4" s="11"/>
      <c r="D4" s="14">
        <v>1</v>
      </c>
      <c r="E4" s="2">
        <v>4</v>
      </c>
      <c r="F4" s="3">
        <v>5.3086300000000002E-4</v>
      </c>
      <c r="G4" s="13">
        <f>1.651-2.816*F4</f>
        <v>1.6495050897920001</v>
      </c>
      <c r="H4" s="3">
        <f t="shared" ref="H4:H20" si="2">(E4*F4)/(1+(E4-G4)*F4)</f>
        <v>2.1208056782295566E-3</v>
      </c>
      <c r="I4" s="35">
        <f>I3-J3</f>
        <v>0.98652928504413184</v>
      </c>
      <c r="J4" s="35">
        <f t="shared" ref="J4:J21" si="3">H4*I4</f>
        <v>2.0922369094613395E-3</v>
      </c>
      <c r="K4" s="35">
        <f t="shared" si="0"/>
        <v>3.941199347969889</v>
      </c>
      <c r="L4" s="35">
        <f>SUM(K4:K$21)</f>
        <v>72.359600318597288</v>
      </c>
      <c r="M4" s="10">
        <f t="shared" si="1"/>
        <v>73.347645544410085</v>
      </c>
      <c r="O4">
        <f t="shared" ref="O4:O21" si="4">LOG10(H4)</f>
        <v>-2.6734991224965481</v>
      </c>
      <c r="Q4">
        <f t="shared" ref="Q4:Q21" si="5">H4/H26</f>
        <v>1.1375932206891757</v>
      </c>
      <c r="S4" t="s">
        <v>46</v>
      </c>
    </row>
    <row r="5" spans="1:19" x14ac:dyDescent="0.35">
      <c r="A5" s="10">
        <f t="shared" ref="A5:A20" si="6">D5+G5</f>
        <v>7.5</v>
      </c>
      <c r="B5" s="2" t="s">
        <v>9</v>
      </c>
      <c r="C5" s="11"/>
      <c r="D5" s="14">
        <v>5</v>
      </c>
      <c r="E5" s="2">
        <v>5</v>
      </c>
      <c r="F5" s="3">
        <v>2.3250500000000001E-4</v>
      </c>
      <c r="G5" s="13">
        <f>(D6-D5)/2</f>
        <v>2.5</v>
      </c>
      <c r="H5" s="3">
        <f t="shared" si="2"/>
        <v>1.1618496603617941E-3</v>
      </c>
      <c r="I5" s="35">
        <f t="shared" ref="I5:I21" si="7">I4-J4</f>
        <v>0.98443704813467048</v>
      </c>
      <c r="J5" s="35">
        <f t="shared" si="3"/>
        <v>1.143767850022834E-3</v>
      </c>
      <c r="K5" s="35">
        <f t="shared" si="0"/>
        <v>4.9193258210482957</v>
      </c>
      <c r="L5" s="35">
        <f>SUM(K5:K$21)</f>
        <v>68.418400970627388</v>
      </c>
      <c r="M5" s="10">
        <f t="shared" si="1"/>
        <v>69.500026538281787</v>
      </c>
      <c r="O5">
        <f t="shared" si="4"/>
        <v>-2.934850064630171</v>
      </c>
      <c r="Q5">
        <f t="shared" si="5"/>
        <v>1.1376148204207115</v>
      </c>
      <c r="S5" t="s">
        <v>44</v>
      </c>
    </row>
    <row r="6" spans="1:19" x14ac:dyDescent="0.35">
      <c r="A6" s="10">
        <f t="shared" si="6"/>
        <v>12.5</v>
      </c>
      <c r="B6" s="2" t="s">
        <v>10</v>
      </c>
      <c r="C6" s="11"/>
      <c r="D6" s="14">
        <v>10</v>
      </c>
      <c r="E6" s="2">
        <v>5</v>
      </c>
      <c r="F6" s="3">
        <v>3.31956E-4</v>
      </c>
      <c r="G6" s="13">
        <f t="shared" ref="G6:G20" si="8">(D7-D6)/2</f>
        <v>2.5</v>
      </c>
      <c r="H6" s="3">
        <f t="shared" si="2"/>
        <v>1.6584037073473093E-3</v>
      </c>
      <c r="I6" s="35">
        <f t="shared" si="7"/>
        <v>0.98329328028464769</v>
      </c>
      <c r="J6" s="35">
        <f t="shared" si="3"/>
        <v>1.6306972214337567E-3</v>
      </c>
      <c r="K6" s="35">
        <f t="shared" si="0"/>
        <v>4.912389658369654</v>
      </c>
      <c r="L6" s="35">
        <f>SUM(K6:K$21)</f>
        <v>63.49907514957912</v>
      </c>
      <c r="M6" s="10">
        <f t="shared" si="1"/>
        <v>64.57796104453918</v>
      </c>
      <c r="O6">
        <f t="shared" si="4"/>
        <v>-2.7803097400515089</v>
      </c>
      <c r="Q6">
        <f t="shared" si="5"/>
        <v>1.3639474242700382</v>
      </c>
      <c r="S6" t="s">
        <v>45</v>
      </c>
    </row>
    <row r="7" spans="1:19" x14ac:dyDescent="0.35">
      <c r="A7" s="10">
        <f t="shared" si="6"/>
        <v>17.5</v>
      </c>
      <c r="B7" s="2" t="s">
        <v>11</v>
      </c>
      <c r="C7" s="11"/>
      <c r="D7" s="14">
        <v>15</v>
      </c>
      <c r="E7" s="2">
        <v>5</v>
      </c>
      <c r="F7" s="3">
        <v>1.0074070000000001E-3</v>
      </c>
      <c r="G7" s="13">
        <f t="shared" si="8"/>
        <v>2.5</v>
      </c>
      <c r="H7" s="3">
        <f t="shared" si="2"/>
        <v>5.0243810085034172E-3</v>
      </c>
      <c r="I7" s="35">
        <f t="shared" si="7"/>
        <v>0.98166258306321397</v>
      </c>
      <c r="J7" s="35">
        <f t="shared" si="3"/>
        <v>4.9322468391012203E-3</v>
      </c>
      <c r="K7" s="35">
        <f t="shared" si="0"/>
        <v>4.8959822982183168</v>
      </c>
      <c r="L7" s="35">
        <f>SUM(K7:K$21)</f>
        <v>58.586685491209458</v>
      </c>
      <c r="M7" s="10">
        <f t="shared" si="1"/>
        <v>59.681082382088491</v>
      </c>
      <c r="O7">
        <f t="shared" si="4"/>
        <v>-2.2989174346338213</v>
      </c>
      <c r="Q7">
        <f t="shared" si="5"/>
        <v>2.499967707207412</v>
      </c>
    </row>
    <row r="8" spans="1:19" x14ac:dyDescent="0.35">
      <c r="A8" s="10">
        <f t="shared" si="6"/>
        <v>22.5</v>
      </c>
      <c r="B8" s="2" t="s">
        <v>12</v>
      </c>
      <c r="C8" s="11"/>
      <c r="D8" s="14">
        <v>20</v>
      </c>
      <c r="E8" s="2">
        <v>5</v>
      </c>
      <c r="F8" s="3">
        <v>1.7129650000000001E-3</v>
      </c>
      <c r="G8" s="13">
        <f t="shared" si="8"/>
        <v>2.5</v>
      </c>
      <c r="H8" s="3">
        <f t="shared" si="2"/>
        <v>8.5283032873982537E-3</v>
      </c>
      <c r="I8" s="35">
        <f t="shared" si="7"/>
        <v>0.97673033622411276</v>
      </c>
      <c r="J8" s="35">
        <f t="shared" si="3"/>
        <v>8.3298525373217032E-3</v>
      </c>
      <c r="K8" s="35">
        <f t="shared" si="0"/>
        <v>4.8628270497772599</v>
      </c>
      <c r="L8" s="35">
        <f>SUM(K8:K$21)</f>
        <v>53.690703192991144</v>
      </c>
      <c r="M8" s="10">
        <f t="shared" si="1"/>
        <v>54.969832718159481</v>
      </c>
      <c r="O8">
        <f t="shared" si="4"/>
        <v>-2.0691373634650883</v>
      </c>
      <c r="Q8">
        <f t="shared" si="5"/>
        <v>3.0655132632016766</v>
      </c>
    </row>
    <row r="9" spans="1:19" x14ac:dyDescent="0.35">
      <c r="A9" s="10">
        <f t="shared" si="6"/>
        <v>27.5</v>
      </c>
      <c r="B9" s="2" t="s">
        <v>13</v>
      </c>
      <c r="C9" s="11"/>
      <c r="D9" s="14">
        <v>25</v>
      </c>
      <c r="E9" s="2">
        <v>5</v>
      </c>
      <c r="F9" s="3">
        <v>2.1317929999999999E-3</v>
      </c>
      <c r="G9" s="13">
        <f t="shared" si="8"/>
        <v>2.5</v>
      </c>
      <c r="H9" s="3">
        <f t="shared" si="2"/>
        <v>1.0602459378286459E-2</v>
      </c>
      <c r="I9" s="35">
        <f t="shared" si="7"/>
        <v>0.9684004836867911</v>
      </c>
      <c r="J9" s="35">
        <f t="shared" si="3"/>
        <v>1.0267426790202162E-2</v>
      </c>
      <c r="K9" s="35">
        <f t="shared" si="0"/>
        <v>4.8163338514584497</v>
      </c>
      <c r="L9" s="35">
        <f>SUM(K9:K$21)</f>
        <v>48.827876143213885</v>
      </c>
      <c r="M9" s="10">
        <f t="shared" si="1"/>
        <v>50.421160424581366</v>
      </c>
      <c r="O9">
        <f t="shared" si="4"/>
        <v>-1.9745933827984421</v>
      </c>
      <c r="Q9">
        <f t="shared" si="5"/>
        <v>3.2071746093542499</v>
      </c>
    </row>
    <row r="10" spans="1:19" x14ac:dyDescent="0.35">
      <c r="A10" s="10">
        <f t="shared" si="6"/>
        <v>32.5</v>
      </c>
      <c r="B10" s="2" t="s">
        <v>14</v>
      </c>
      <c r="C10" s="11"/>
      <c r="D10" s="14">
        <v>30</v>
      </c>
      <c r="E10" s="2">
        <v>5</v>
      </c>
      <c r="F10" s="3">
        <v>2.4450370000000002E-3</v>
      </c>
      <c r="G10" s="13">
        <f t="shared" si="8"/>
        <v>2.5</v>
      </c>
      <c r="H10" s="3">
        <f t="shared" si="2"/>
        <v>1.2150911429925275E-2</v>
      </c>
      <c r="I10" s="35">
        <f t="shared" si="7"/>
        <v>0.9581330568965889</v>
      </c>
      <c r="J10" s="35">
        <f t="shared" si="3"/>
        <v>1.1642189912434006E-2</v>
      </c>
      <c r="K10" s="35">
        <f t="shared" si="0"/>
        <v>4.7615598097018594</v>
      </c>
      <c r="L10" s="35">
        <f>SUM(K10:K$21)</f>
        <v>44.011542291755433</v>
      </c>
      <c r="M10" s="10">
        <f t="shared" si="1"/>
        <v>45.934687228420707</v>
      </c>
      <c r="O10">
        <f t="shared" si="4"/>
        <v>-1.9153911447700795</v>
      </c>
      <c r="Q10">
        <f t="shared" si="5"/>
        <v>3.1199132945725583</v>
      </c>
    </row>
    <row r="11" spans="1:19" x14ac:dyDescent="0.35">
      <c r="A11" s="10">
        <f t="shared" si="6"/>
        <v>37.5</v>
      </c>
      <c r="B11" s="2" t="s">
        <v>15</v>
      </c>
      <c r="C11" s="11"/>
      <c r="D11" s="14">
        <v>35</v>
      </c>
      <c r="E11" s="2">
        <v>5</v>
      </c>
      <c r="F11" s="3">
        <v>3.0462670000000001E-3</v>
      </c>
      <c r="G11" s="13">
        <f t="shared" si="8"/>
        <v>2.5</v>
      </c>
      <c r="H11" s="3">
        <f t="shared" si="2"/>
        <v>1.5116214933210135E-2</v>
      </c>
      <c r="I11" s="35">
        <f t="shared" si="7"/>
        <v>0.94649086698415485</v>
      </c>
      <c r="J11" s="35">
        <f t="shared" si="3"/>
        <v>1.4307359377652889E-2</v>
      </c>
      <c r="K11" s="35">
        <f t="shared" si="0"/>
        <v>4.6966859364766416</v>
      </c>
      <c r="L11" s="35">
        <f>SUM(K11:K$21)</f>
        <v>39.249982482053575</v>
      </c>
      <c r="M11" s="10">
        <f t="shared" si="1"/>
        <v>41.468950046097653</v>
      </c>
      <c r="O11">
        <f t="shared" si="4"/>
        <v>-1.8205569415999876</v>
      </c>
      <c r="Q11">
        <f t="shared" si="5"/>
        <v>2.7002898184402992</v>
      </c>
    </row>
    <row r="12" spans="1:19" x14ac:dyDescent="0.35">
      <c r="A12" s="10">
        <f t="shared" si="6"/>
        <v>42.5</v>
      </c>
      <c r="B12" s="2" t="s">
        <v>16</v>
      </c>
      <c r="C12" s="11"/>
      <c r="D12" s="14">
        <v>40</v>
      </c>
      <c r="E12" s="2">
        <v>5</v>
      </c>
      <c r="F12" s="3">
        <v>4.0926280000000001E-3</v>
      </c>
      <c r="G12" s="13">
        <f t="shared" si="8"/>
        <v>2.5</v>
      </c>
      <c r="H12" s="3">
        <f t="shared" si="2"/>
        <v>2.0255890439060426E-2</v>
      </c>
      <c r="I12" s="35">
        <f t="shared" si="7"/>
        <v>0.93218350760650193</v>
      </c>
      <c r="J12" s="35">
        <f t="shared" si="3"/>
        <v>1.8882206999176355E-2</v>
      </c>
      <c r="K12" s="35">
        <f t="shared" si="0"/>
        <v>4.6137120205345692</v>
      </c>
      <c r="L12" s="35">
        <f>SUM(K12:K$21)</f>
        <v>34.553296545576927</v>
      </c>
      <c r="M12" s="10">
        <f t="shared" si="1"/>
        <v>37.067054140763389</v>
      </c>
      <c r="O12">
        <f t="shared" si="4"/>
        <v>-1.6934486606872339</v>
      </c>
      <c r="Q12">
        <f t="shared" si="5"/>
        <v>2.4164014962694211</v>
      </c>
    </row>
    <row r="13" spans="1:19" x14ac:dyDescent="0.35">
      <c r="A13" s="10">
        <f t="shared" si="6"/>
        <v>47.5</v>
      </c>
      <c r="B13" s="2" t="s">
        <v>17</v>
      </c>
      <c r="C13" s="11"/>
      <c r="D13" s="14">
        <v>45</v>
      </c>
      <c r="E13" s="2">
        <v>5</v>
      </c>
      <c r="F13" s="3">
        <v>5.1841989999999996E-3</v>
      </c>
      <c r="G13" s="13">
        <f t="shared" si="8"/>
        <v>2.5</v>
      </c>
      <c r="H13" s="3">
        <f t="shared" si="2"/>
        <v>2.558934436631375E-2</v>
      </c>
      <c r="I13" s="35">
        <f t="shared" si="7"/>
        <v>0.91330130060732562</v>
      </c>
      <c r="J13" s="35">
        <f t="shared" si="3"/>
        <v>2.3370781491443088E-2</v>
      </c>
      <c r="K13" s="35">
        <f t="shared" si="0"/>
        <v>4.5080795493080208</v>
      </c>
      <c r="L13" s="35">
        <f>SUM(K13:K$21)</f>
        <v>29.939584525042356</v>
      </c>
      <c r="M13" s="10">
        <f t="shared" si="1"/>
        <v>32.781716729334754</v>
      </c>
      <c r="O13">
        <f t="shared" si="4"/>
        <v>-1.5919408411835354</v>
      </c>
      <c r="Q13">
        <f t="shared" si="5"/>
        <v>2.0970095665414399</v>
      </c>
    </row>
    <row r="14" spans="1:19" x14ac:dyDescent="0.35">
      <c r="A14" s="10">
        <f t="shared" si="6"/>
        <v>52.5</v>
      </c>
      <c r="B14" s="2" t="s">
        <v>18</v>
      </c>
      <c r="C14" s="11"/>
      <c r="D14" s="14">
        <v>50</v>
      </c>
      <c r="E14" s="2">
        <v>5</v>
      </c>
      <c r="F14" s="3">
        <v>7.448423E-3</v>
      </c>
      <c r="G14" s="13">
        <f t="shared" si="8"/>
        <v>2.5</v>
      </c>
      <c r="H14" s="3">
        <f t="shared" si="2"/>
        <v>3.6561304840293858E-2</v>
      </c>
      <c r="I14" s="35">
        <f t="shared" si="7"/>
        <v>0.8899305191158825</v>
      </c>
      <c r="J14" s="35">
        <f t="shared" si="3"/>
        <v>3.2537020996076742E-2</v>
      </c>
      <c r="K14" s="35">
        <f t="shared" si="0"/>
        <v>4.3683100430892203</v>
      </c>
      <c r="L14" s="35">
        <f>SUM(K14:K$21)</f>
        <v>25.431504975734335</v>
      </c>
      <c r="M14" s="10">
        <f t="shared" si="1"/>
        <v>28.576955649301386</v>
      </c>
      <c r="O14">
        <f t="shared" si="4"/>
        <v>-1.4369783130796989</v>
      </c>
      <c r="Q14">
        <f t="shared" si="5"/>
        <v>1.8345510345731384</v>
      </c>
    </row>
    <row r="15" spans="1:19" x14ac:dyDescent="0.35">
      <c r="A15" s="10">
        <f t="shared" si="6"/>
        <v>57.5</v>
      </c>
      <c r="B15" s="2" t="s">
        <v>19</v>
      </c>
      <c r="C15" s="11"/>
      <c r="D15" s="14">
        <v>55</v>
      </c>
      <c r="E15" s="2">
        <v>5</v>
      </c>
      <c r="F15" s="3">
        <v>1.0614808999999999E-2</v>
      </c>
      <c r="G15" s="13">
        <f t="shared" si="8"/>
        <v>2.5</v>
      </c>
      <c r="H15" s="3">
        <f t="shared" si="2"/>
        <v>5.170202714242584E-2</v>
      </c>
      <c r="I15" s="35">
        <f t="shared" si="7"/>
        <v>0.85739349811980581</v>
      </c>
      <c r="J15" s="35">
        <f t="shared" si="3"/>
        <v>4.432898191152964E-2</v>
      </c>
      <c r="K15" s="35">
        <f t="shared" si="0"/>
        <v>4.1761450358202046</v>
      </c>
      <c r="L15" s="35">
        <f>SUM(K15:K$21)</f>
        <v>21.063194932645114</v>
      </c>
      <c r="M15" s="10">
        <f t="shared" si="1"/>
        <v>24.566543808455496</v>
      </c>
      <c r="O15">
        <f t="shared" si="4"/>
        <v>-1.2864924286756829</v>
      </c>
      <c r="Q15">
        <f t="shared" si="5"/>
        <v>1.6619113809591897</v>
      </c>
    </row>
    <row r="16" spans="1:19" x14ac:dyDescent="0.35">
      <c r="A16" s="10">
        <f t="shared" si="6"/>
        <v>62.5</v>
      </c>
      <c r="B16" s="2" t="s">
        <v>20</v>
      </c>
      <c r="C16" s="11"/>
      <c r="D16" s="14">
        <v>60</v>
      </c>
      <c r="E16" s="2">
        <v>5</v>
      </c>
      <c r="F16" s="3">
        <v>1.4931748E-2</v>
      </c>
      <c r="G16" s="13">
        <f t="shared" si="8"/>
        <v>2.5</v>
      </c>
      <c r="H16" s="3">
        <f t="shared" si="2"/>
        <v>7.1972068042380793E-2</v>
      </c>
      <c r="I16" s="35">
        <f t="shared" si="7"/>
        <v>0.81306451620827613</v>
      </c>
      <c r="J16" s="35">
        <f t="shared" si="3"/>
        <v>5.8517934683387472E-2</v>
      </c>
      <c r="K16" s="35">
        <f t="shared" si="0"/>
        <v>3.919027744332912</v>
      </c>
      <c r="L16" s="35">
        <f>SUM(K16:K$21)</f>
        <v>16.887049896824912</v>
      </c>
      <c r="M16" s="10">
        <f t="shared" si="1"/>
        <v>20.76963089666933</v>
      </c>
      <c r="O16">
        <f t="shared" si="4"/>
        <v>-1.1428360181338124</v>
      </c>
      <c r="Q16">
        <f t="shared" si="5"/>
        <v>1.5174687636211199</v>
      </c>
    </row>
    <row r="17" spans="1:21" x14ac:dyDescent="0.35">
      <c r="A17" s="10">
        <f t="shared" si="6"/>
        <v>67.5</v>
      </c>
      <c r="B17" s="2" t="s">
        <v>21</v>
      </c>
      <c r="C17" s="11"/>
      <c r="D17" s="14">
        <v>65</v>
      </c>
      <c r="E17" s="2">
        <v>5</v>
      </c>
      <c r="F17" s="3">
        <v>2.3080235000000001E-2</v>
      </c>
      <c r="G17" s="13">
        <f t="shared" si="8"/>
        <v>2.5</v>
      </c>
      <c r="H17" s="3">
        <f t="shared" si="2"/>
        <v>0.10910571135519956</v>
      </c>
      <c r="I17" s="35">
        <f t="shared" si="7"/>
        <v>0.75454658152488863</v>
      </c>
      <c r="J17" s="35">
        <f t="shared" si="3"/>
        <v>8.2325341527907048E-2</v>
      </c>
      <c r="K17" s="35">
        <f t="shared" si="0"/>
        <v>3.5669195538046758</v>
      </c>
      <c r="L17" s="35">
        <f>SUM(K17:K$21)</f>
        <v>12.968022152492001</v>
      </c>
      <c r="M17" s="10">
        <f t="shared" si="1"/>
        <v>17.186509713269771</v>
      </c>
      <c r="O17">
        <f t="shared" si="4"/>
        <v>-0.96215251480922703</v>
      </c>
      <c r="Q17">
        <f t="shared" si="5"/>
        <v>1.4476750020919193</v>
      </c>
    </row>
    <row r="18" spans="1:21" x14ac:dyDescent="0.35">
      <c r="A18" s="10">
        <f t="shared" si="6"/>
        <v>72.5</v>
      </c>
      <c r="B18" s="2" t="s">
        <v>22</v>
      </c>
      <c r="C18" s="11"/>
      <c r="D18" s="14">
        <v>70</v>
      </c>
      <c r="E18" s="2">
        <v>5</v>
      </c>
      <c r="F18" s="3">
        <v>3.2508632000000003E-2</v>
      </c>
      <c r="G18" s="13">
        <f t="shared" si="8"/>
        <v>2.5</v>
      </c>
      <c r="H18" s="3">
        <f t="shared" si="2"/>
        <v>0.15032593384170886</v>
      </c>
      <c r="I18" s="35">
        <f t="shared" si="7"/>
        <v>0.67222123999698158</v>
      </c>
      <c r="J18" s="35">
        <f t="shared" si="3"/>
        <v>0.10105228565077774</v>
      </c>
      <c r="K18" s="35">
        <f t="shared" si="0"/>
        <v>3.108475485857964</v>
      </c>
      <c r="L18" s="35">
        <f>SUM(K18:K$21)</f>
        <v>9.4011025986873236</v>
      </c>
      <c r="M18" s="10">
        <f t="shared" si="1"/>
        <v>13.985131738368661</v>
      </c>
      <c r="O18">
        <f t="shared" si="4"/>
        <v>-0.82296608958762585</v>
      </c>
      <c r="Q18">
        <f t="shared" si="5"/>
        <v>1.3528310889121706</v>
      </c>
      <c r="T18" t="s">
        <v>49</v>
      </c>
    </row>
    <row r="19" spans="1:21" x14ac:dyDescent="0.35">
      <c r="A19" s="10">
        <f t="shared" si="6"/>
        <v>77.5</v>
      </c>
      <c r="B19" s="2" t="s">
        <v>23</v>
      </c>
      <c r="C19" s="11"/>
      <c r="D19" s="14">
        <v>75</v>
      </c>
      <c r="E19" s="2">
        <v>5</v>
      </c>
      <c r="F19" s="3">
        <v>5.1130363999999998E-2</v>
      </c>
      <c r="G19" s="13">
        <f t="shared" si="8"/>
        <v>2.5</v>
      </c>
      <c r="H19" s="3">
        <f t="shared" si="2"/>
        <v>0.22667666856492064</v>
      </c>
      <c r="I19" s="35">
        <f t="shared" si="7"/>
        <v>0.57116895434620385</v>
      </c>
      <c r="J19" s="35">
        <f t="shared" si="3"/>
        <v>0.12947067575890672</v>
      </c>
      <c r="K19" s="35">
        <f t="shared" si="0"/>
        <v>2.5321680823337522</v>
      </c>
      <c r="L19" s="35">
        <f>SUM(K19:K$21)</f>
        <v>6.2926271128293596</v>
      </c>
      <c r="M19" s="10">
        <f t="shared" si="1"/>
        <v>11.01710284662145</v>
      </c>
      <c r="O19">
        <f t="shared" si="4"/>
        <v>-0.64459317874848587</v>
      </c>
      <c r="Q19">
        <f t="shared" si="5"/>
        <v>1.3077155662605344</v>
      </c>
    </row>
    <row r="20" spans="1:21" x14ac:dyDescent="0.35">
      <c r="A20" s="10">
        <f t="shared" si="6"/>
        <v>82.5</v>
      </c>
      <c r="B20" s="2" t="s">
        <v>24</v>
      </c>
      <c r="C20" s="11"/>
      <c r="D20" s="14">
        <v>80</v>
      </c>
      <c r="E20" s="2">
        <v>5</v>
      </c>
      <c r="F20" s="3">
        <v>8.7876870999999995E-2</v>
      </c>
      <c r="G20" s="13">
        <f t="shared" si="8"/>
        <v>2.5</v>
      </c>
      <c r="H20" s="3">
        <f t="shared" si="2"/>
        <v>0.36024200458562006</v>
      </c>
      <c r="I20" s="35">
        <f t="shared" si="7"/>
        <v>0.44169827858729716</v>
      </c>
      <c r="J20" s="35">
        <f t="shared" si="3"/>
        <v>0.15911827330030559</v>
      </c>
      <c r="K20" s="35">
        <f t="shared" si="0"/>
        <v>1.8106957096857217</v>
      </c>
      <c r="L20" s="35">
        <f>SUM(K20:K$21)</f>
        <v>3.7604590304956074</v>
      </c>
      <c r="M20" s="10">
        <f t="shared" si="1"/>
        <v>8.5136375050472175</v>
      </c>
      <c r="O20">
        <f t="shared" si="4"/>
        <v>-0.44340564938386695</v>
      </c>
      <c r="Q20">
        <f t="shared" si="5"/>
        <v>1.2619617339211326</v>
      </c>
    </row>
    <row r="21" spans="1:21" ht="15" thickBot="1" x14ac:dyDescent="0.4">
      <c r="A21" s="10">
        <f>D21+G21</f>
        <v>91.899862992180516</v>
      </c>
      <c r="B21" s="2" t="s">
        <v>25</v>
      </c>
      <c r="C21" s="11"/>
      <c r="D21" s="15">
        <v>85</v>
      </c>
      <c r="E21" s="2" t="s">
        <v>39</v>
      </c>
      <c r="F21" s="3">
        <v>0.14493041400000001</v>
      </c>
      <c r="G21" s="29">
        <f>1/F21</f>
        <v>6.899862992180509</v>
      </c>
      <c r="H21" s="28">
        <v>1</v>
      </c>
      <c r="I21" s="35">
        <f t="shared" si="7"/>
        <v>0.28258000528699156</v>
      </c>
      <c r="J21" s="35">
        <f t="shared" si="3"/>
        <v>0.28258000528699156</v>
      </c>
      <c r="K21" s="36">
        <f>I21/F21</f>
        <v>1.9497633208098857</v>
      </c>
      <c r="L21" s="35">
        <f>SUM(K21:K$21)</f>
        <v>1.9497633208098857</v>
      </c>
      <c r="M21" s="10">
        <f t="shared" si="1"/>
        <v>6.899862992180509</v>
      </c>
      <c r="O21">
        <f t="shared" si="4"/>
        <v>0</v>
      </c>
      <c r="Q21">
        <f t="shared" si="5"/>
        <v>1</v>
      </c>
      <c r="T21" s="26">
        <f>G21</f>
        <v>6.899862992180509</v>
      </c>
      <c r="U21" t="s">
        <v>48</v>
      </c>
    </row>
    <row r="22" spans="1:21" x14ac:dyDescent="0.35">
      <c r="B22" s="2"/>
      <c r="C22" s="11"/>
      <c r="D22" s="16"/>
      <c r="E22" s="2"/>
      <c r="T22" s="27">
        <f>F3</f>
        <v>1.3639454000000001E-2</v>
      </c>
      <c r="U22" t="s">
        <v>50</v>
      </c>
    </row>
    <row r="23" spans="1:21" ht="15" thickBot="1" x14ac:dyDescent="0.4">
      <c r="B23" s="4" t="s">
        <v>40</v>
      </c>
      <c r="C23" s="5"/>
      <c r="D23" s="17"/>
      <c r="E23" s="2"/>
      <c r="U23" t="s">
        <v>50</v>
      </c>
    </row>
    <row r="24" spans="1:21" ht="15" thickBot="1" x14ac:dyDescent="0.4">
      <c r="A24" s="4" t="s">
        <v>27</v>
      </c>
      <c r="B24" s="4" t="s">
        <v>2</v>
      </c>
      <c r="C24" s="5"/>
      <c r="D24" s="18" t="s">
        <v>27</v>
      </c>
      <c r="E24" s="19" t="s">
        <v>28</v>
      </c>
      <c r="F24" s="19" t="s">
        <v>29</v>
      </c>
      <c r="G24" s="19" t="s">
        <v>30</v>
      </c>
      <c r="H24" s="19" t="s">
        <v>31</v>
      </c>
      <c r="I24" s="19" t="s">
        <v>41</v>
      </c>
      <c r="J24" s="19" t="s">
        <v>33</v>
      </c>
      <c r="K24" s="19" t="s">
        <v>34</v>
      </c>
      <c r="L24" s="19" t="s">
        <v>35</v>
      </c>
      <c r="M24" s="20" t="s">
        <v>36</v>
      </c>
      <c r="O24" s="21" t="s">
        <v>42</v>
      </c>
      <c r="T24" t="s">
        <v>52</v>
      </c>
    </row>
    <row r="25" spans="1:21" x14ac:dyDescent="0.35">
      <c r="A25" s="10">
        <f>D25+G25</f>
        <v>8.4188273199999997E-2</v>
      </c>
      <c r="B25" s="2" t="s">
        <v>7</v>
      </c>
      <c r="C25" s="11"/>
      <c r="D25" s="22">
        <v>0</v>
      </c>
      <c r="E25" s="31">
        <v>1</v>
      </c>
      <c r="F25" s="32">
        <v>1.1138669E-2</v>
      </c>
      <c r="G25" s="33">
        <f>0.053+2.8*F25</f>
        <v>8.4188273199999997E-2</v>
      </c>
      <c r="H25" s="32">
        <f>(E25*F25)/(1 + (E25 - G25)*F25)</f>
        <v>1.1026191660269666E-2</v>
      </c>
      <c r="I25" s="37">
        <v>1</v>
      </c>
      <c r="J25" s="37">
        <f t="shared" ref="J25:J43" si="9">I25*H25</f>
        <v>1.1026191660269666E-2</v>
      </c>
      <c r="K25" s="37">
        <f t="shared" ref="K25:K42" si="10">(I26*E25)+(J25*G25)</f>
        <v>0.98990208437558069</v>
      </c>
      <c r="L25" s="37">
        <f>SUM(K25:K$43)</f>
        <v>79.344724694453859</v>
      </c>
      <c r="M25" s="34">
        <f t="shared" ref="M25:M43" si="11">L25/I25</f>
        <v>79.344724694453859</v>
      </c>
      <c r="O25">
        <f>LOG10(H25)</f>
        <v>-1.957574462766047</v>
      </c>
    </row>
    <row r="26" spans="1:21" x14ac:dyDescent="0.35">
      <c r="A26" s="10">
        <f t="shared" ref="A26:A43" si="12">D26+G26</f>
        <v>2.5212916829839997</v>
      </c>
      <c r="B26" s="2" t="s">
        <v>8</v>
      </c>
      <c r="C26" s="11"/>
      <c r="D26" s="23">
        <v>1</v>
      </c>
      <c r="E26" s="31">
        <v>4</v>
      </c>
      <c r="F26" s="32">
        <v>4.6661199999999998E-4</v>
      </c>
      <c r="G26" s="33">
        <f>1.522-1.518*F26</f>
        <v>1.521291682984</v>
      </c>
      <c r="H26" s="32">
        <f t="shared" ref="H26:H42" si="13">(E26*F26)/(1 + (E26 - G26)*F26)</f>
        <v>1.8642917693766953E-3</v>
      </c>
      <c r="I26" s="37">
        <f t="shared" ref="I26:I43" si="14">I25-J25</f>
        <v>0.98897380833973036</v>
      </c>
      <c r="J26" s="37">
        <f t="shared" si="9"/>
        <v>1.8437357310168846E-3</v>
      </c>
      <c r="K26" s="37">
        <f t="shared" si="10"/>
        <v>3.9513251502680702</v>
      </c>
      <c r="L26" s="37">
        <f>SUM(K26:K$43)</f>
        <v>78.354822610078287</v>
      </c>
      <c r="M26" s="34">
        <f t="shared" si="11"/>
        <v>79.228410246393494</v>
      </c>
      <c r="O26">
        <f t="shared" ref="O26:O43" si="15">LOG10(H26)</f>
        <v>-2.7294861177791669</v>
      </c>
    </row>
    <row r="27" spans="1:21" x14ac:dyDescent="0.35">
      <c r="A27" s="10">
        <f t="shared" si="12"/>
        <v>7.5</v>
      </c>
      <c r="B27" s="2" t="s">
        <v>9</v>
      </c>
      <c r="C27" s="11"/>
      <c r="D27" s="23">
        <v>5</v>
      </c>
      <c r="E27" s="31">
        <v>5</v>
      </c>
      <c r="F27" s="32">
        <v>2.04365E-4</v>
      </c>
      <c r="G27" s="33">
        <f>G5</f>
        <v>2.5</v>
      </c>
      <c r="H27" s="32">
        <f t="shared" si="13"/>
        <v>1.0213032034270791E-3</v>
      </c>
      <c r="I27" s="37">
        <f t="shared" si="14"/>
        <v>0.98713007260871344</v>
      </c>
      <c r="J27" s="37">
        <f t="shared" si="9"/>
        <v>1.0081591053544843E-3</v>
      </c>
      <c r="K27" s="37">
        <f t="shared" si="10"/>
        <v>4.9331299652801812</v>
      </c>
      <c r="L27" s="37">
        <f>SUM(K27:K$43)</f>
        <v>74.403497459810211</v>
      </c>
      <c r="M27" s="34">
        <f t="shared" si="11"/>
        <v>75.373549569999639</v>
      </c>
      <c r="O27">
        <f t="shared" si="15"/>
        <v>-2.9908453058789148</v>
      </c>
    </row>
    <row r="28" spans="1:21" x14ac:dyDescent="0.35">
      <c r="A28" s="10">
        <f t="shared" si="12"/>
        <v>12.5</v>
      </c>
      <c r="B28" s="2" t="s">
        <v>10</v>
      </c>
      <c r="C28" s="11"/>
      <c r="D28" s="23">
        <v>10</v>
      </c>
      <c r="E28" s="31">
        <v>5</v>
      </c>
      <c r="F28" s="32">
        <v>2.4332499999999999E-4</v>
      </c>
      <c r="G28" s="33">
        <f t="shared" ref="G28:G42" si="16">G6</f>
        <v>2.5</v>
      </c>
      <c r="H28" s="32">
        <f t="shared" si="13"/>
        <v>1.215885361735889E-3</v>
      </c>
      <c r="I28" s="37">
        <f t="shared" si="14"/>
        <v>0.98612191350335898</v>
      </c>
      <c r="J28" s="37">
        <f t="shared" si="9"/>
        <v>1.1990111995157187E-3</v>
      </c>
      <c r="K28" s="37">
        <f t="shared" si="10"/>
        <v>4.9276120395180056</v>
      </c>
      <c r="L28" s="37">
        <f>SUM(K28:K$43)</f>
        <v>69.470367494530024</v>
      </c>
      <c r="M28" s="34">
        <f t="shared" si="11"/>
        <v>70.448051648832347</v>
      </c>
      <c r="O28">
        <f t="shared" si="15"/>
        <v>-2.9151073700571053</v>
      </c>
    </row>
    <row r="29" spans="1:21" x14ac:dyDescent="0.35">
      <c r="A29" s="10">
        <f t="shared" si="12"/>
        <v>17.5</v>
      </c>
      <c r="B29" s="2" t="s">
        <v>11</v>
      </c>
      <c r="C29" s="11"/>
      <c r="D29" s="23">
        <v>15</v>
      </c>
      <c r="E29" s="31">
        <v>5</v>
      </c>
      <c r="F29" s="32">
        <v>4.0235999999999999E-4</v>
      </c>
      <c r="G29" s="33">
        <f t="shared" si="16"/>
        <v>2.5</v>
      </c>
      <c r="H29" s="32">
        <f t="shared" si="13"/>
        <v>2.0097783639437088E-3</v>
      </c>
      <c r="I29" s="37">
        <f t="shared" si="14"/>
        <v>0.98492290230384327</v>
      </c>
      <c r="J29" s="37">
        <f t="shared" si="9"/>
        <v>1.9794767392029076E-3</v>
      </c>
      <c r="K29" s="37">
        <f t="shared" si="10"/>
        <v>4.9196658196712084</v>
      </c>
      <c r="L29" s="37">
        <f>SUM(K29:K$43)</f>
        <v>64.542755455012028</v>
      </c>
      <c r="M29" s="34">
        <f t="shared" si="11"/>
        <v>65.53076926532971</v>
      </c>
      <c r="O29">
        <f t="shared" si="15"/>
        <v>-2.6968518334369769</v>
      </c>
    </row>
    <row r="30" spans="1:21" x14ac:dyDescent="0.35">
      <c r="A30" s="10">
        <f t="shared" si="12"/>
        <v>22.5</v>
      </c>
      <c r="B30" s="2" t="s">
        <v>12</v>
      </c>
      <c r="C30" s="11"/>
      <c r="D30" s="23">
        <v>20</v>
      </c>
      <c r="E30" s="31">
        <v>5</v>
      </c>
      <c r="F30" s="32">
        <v>5.5717799999999997E-4</v>
      </c>
      <c r="G30" s="33">
        <f t="shared" si="16"/>
        <v>2.5</v>
      </c>
      <c r="H30" s="32">
        <f t="shared" si="13"/>
        <v>2.7820148063855193E-3</v>
      </c>
      <c r="I30" s="37">
        <f t="shared" si="14"/>
        <v>0.98294342556464032</v>
      </c>
      <c r="J30" s="37">
        <f t="shared" si="9"/>
        <v>2.7345631637601319E-3</v>
      </c>
      <c r="K30" s="37">
        <f t="shared" si="10"/>
        <v>4.9078807199138019</v>
      </c>
      <c r="L30" s="37">
        <f>SUM(K30:K$43)</f>
        <v>59.623089635340797</v>
      </c>
      <c r="M30" s="34">
        <f t="shared" si="11"/>
        <v>60.657702248825778</v>
      </c>
      <c r="O30">
        <f t="shared" si="15"/>
        <v>-2.5556405629441103</v>
      </c>
    </row>
    <row r="31" spans="1:21" x14ac:dyDescent="0.35">
      <c r="A31" s="10">
        <f t="shared" si="12"/>
        <v>27.5</v>
      </c>
      <c r="B31" s="2" t="s">
        <v>13</v>
      </c>
      <c r="C31" s="11"/>
      <c r="D31" s="23">
        <v>25</v>
      </c>
      <c r="E31" s="31">
        <v>5</v>
      </c>
      <c r="F31" s="32">
        <v>6.62266E-4</v>
      </c>
      <c r="G31" s="33">
        <f t="shared" si="16"/>
        <v>2.5</v>
      </c>
      <c r="H31" s="32">
        <f t="shared" si="13"/>
        <v>3.3058566089175967E-3</v>
      </c>
      <c r="I31" s="37">
        <f t="shared" si="14"/>
        <v>0.98020886240088023</v>
      </c>
      <c r="J31" s="37">
        <f t="shared" si="9"/>
        <v>3.2404299458875492E-3</v>
      </c>
      <c r="K31" s="37">
        <f t="shared" si="10"/>
        <v>4.8929432371396819</v>
      </c>
      <c r="L31" s="37">
        <f>SUM(K31:K$43)</f>
        <v>54.715208915427006</v>
      </c>
      <c r="M31" s="34">
        <f t="shared" si="11"/>
        <v>55.819949211038548</v>
      </c>
      <c r="O31">
        <f t="shared" si="15"/>
        <v>-2.4807159878203442</v>
      </c>
    </row>
    <row r="32" spans="1:21" x14ac:dyDescent="0.35">
      <c r="A32" s="10">
        <f t="shared" si="12"/>
        <v>32.5</v>
      </c>
      <c r="B32" s="2" t="s">
        <v>14</v>
      </c>
      <c r="C32" s="11"/>
      <c r="D32" s="23">
        <v>30</v>
      </c>
      <c r="E32" s="31">
        <v>5</v>
      </c>
      <c r="F32" s="32">
        <v>7.8044599999999996E-4</v>
      </c>
      <c r="G32" s="33">
        <f t="shared" si="16"/>
        <v>2.5</v>
      </c>
      <c r="H32" s="32">
        <f t="shared" si="13"/>
        <v>3.8946311267890545E-3</v>
      </c>
      <c r="I32" s="37">
        <f t="shared" si="14"/>
        <v>0.97696843245499265</v>
      </c>
      <c r="J32" s="37">
        <f t="shared" si="9"/>
        <v>3.8049316669295243E-3</v>
      </c>
      <c r="K32" s="37">
        <f t="shared" si="10"/>
        <v>4.8753298331076396</v>
      </c>
      <c r="L32" s="37">
        <f>SUM(K32:K$43)</f>
        <v>49.822265678287323</v>
      </c>
      <c r="M32" s="34">
        <f t="shared" si="11"/>
        <v>50.99680196737836</v>
      </c>
      <c r="O32">
        <f t="shared" si="15"/>
        <v>-2.4095336694898273</v>
      </c>
    </row>
    <row r="33" spans="1:15" x14ac:dyDescent="0.35">
      <c r="A33" s="10">
        <f t="shared" si="12"/>
        <v>37.5</v>
      </c>
      <c r="B33" s="2" t="s">
        <v>15</v>
      </c>
      <c r="C33" s="11"/>
      <c r="D33" s="23">
        <v>35</v>
      </c>
      <c r="E33" s="31">
        <v>5</v>
      </c>
      <c r="F33" s="32">
        <v>1.1227419999999999E-3</v>
      </c>
      <c r="G33" s="33">
        <f t="shared" si="16"/>
        <v>2.5</v>
      </c>
      <c r="H33" s="32">
        <f t="shared" si="13"/>
        <v>5.5979972334752335E-3</v>
      </c>
      <c r="I33" s="37">
        <f t="shared" si="14"/>
        <v>0.97316350078806313</v>
      </c>
      <c r="J33" s="37">
        <f t="shared" si="9"/>
        <v>5.4477665851306502E-3</v>
      </c>
      <c r="K33" s="37">
        <f t="shared" si="10"/>
        <v>4.8521980874774888</v>
      </c>
      <c r="L33" s="37">
        <f>SUM(K33:K$43)</f>
        <v>44.946935845179674</v>
      </c>
      <c r="M33" s="34">
        <f t="shared" si="11"/>
        <v>46.186417604833991</v>
      </c>
      <c r="O33">
        <f t="shared" si="15"/>
        <v>-2.2519673204977124</v>
      </c>
    </row>
    <row r="34" spans="1:15" x14ac:dyDescent="0.35">
      <c r="A34" s="10">
        <f t="shared" si="12"/>
        <v>42.5</v>
      </c>
      <c r="B34" s="2" t="s">
        <v>16</v>
      </c>
      <c r="C34" s="11"/>
      <c r="D34" s="23">
        <v>40</v>
      </c>
      <c r="E34" s="31">
        <v>5</v>
      </c>
      <c r="F34" s="32">
        <v>1.68359E-3</v>
      </c>
      <c r="G34" s="33">
        <f t="shared" si="16"/>
        <v>2.5</v>
      </c>
      <c r="H34" s="32">
        <f t="shared" si="13"/>
        <v>8.3826675617990759E-3</v>
      </c>
      <c r="I34" s="37">
        <f t="shared" si="14"/>
        <v>0.96771573420293244</v>
      </c>
      <c r="J34" s="37">
        <f t="shared" si="9"/>
        <v>8.1120392941454976E-3</v>
      </c>
      <c r="K34" s="37">
        <f t="shared" si="10"/>
        <v>4.8182985727792982</v>
      </c>
      <c r="L34" s="37">
        <f>SUM(K34:K$43)</f>
        <v>40.094737757702191</v>
      </c>
      <c r="M34" s="34">
        <f t="shared" si="11"/>
        <v>41.432350782977167</v>
      </c>
      <c r="O34">
        <f t="shared" si="15"/>
        <v>-2.0766177566659305</v>
      </c>
    </row>
    <row r="35" spans="1:15" x14ac:dyDescent="0.35">
      <c r="A35" s="10">
        <f t="shared" si="12"/>
        <v>47.5</v>
      </c>
      <c r="B35" s="2" t="s">
        <v>17</v>
      </c>
      <c r="C35" s="11"/>
      <c r="D35" s="23">
        <v>45</v>
      </c>
      <c r="E35" s="31">
        <v>5</v>
      </c>
      <c r="F35" s="32">
        <v>2.4555380000000002E-3</v>
      </c>
      <c r="G35" s="33">
        <f t="shared" si="16"/>
        <v>2.5</v>
      </c>
      <c r="H35" s="32">
        <f t="shared" si="13"/>
        <v>1.220277903095969E-2</v>
      </c>
      <c r="I35" s="37">
        <f t="shared" si="14"/>
        <v>0.95960369490878694</v>
      </c>
      <c r="J35" s="37">
        <f t="shared" si="9"/>
        <v>1.1709831846264385E-2</v>
      </c>
      <c r="K35" s="37">
        <f t="shared" si="10"/>
        <v>4.7687438949282743</v>
      </c>
      <c r="L35" s="37">
        <f>SUM(K35:K$43)</f>
        <v>35.276439184922893</v>
      </c>
      <c r="M35" s="34">
        <f t="shared" si="11"/>
        <v>36.761466605519914</v>
      </c>
      <c r="O35">
        <f t="shared" si="15"/>
        <v>-1.9135412529014693</v>
      </c>
    </row>
    <row r="36" spans="1:15" x14ac:dyDescent="0.35">
      <c r="A36" s="10">
        <f t="shared" si="12"/>
        <v>52.5</v>
      </c>
      <c r="B36" s="2" t="s">
        <v>18</v>
      </c>
      <c r="C36" s="11"/>
      <c r="D36" s="23">
        <v>50</v>
      </c>
      <c r="E36" s="31">
        <v>5</v>
      </c>
      <c r="F36" s="32">
        <v>4.0259759999999997E-3</v>
      </c>
      <c r="G36" s="33">
        <f t="shared" si="16"/>
        <v>2.5</v>
      </c>
      <c r="H36" s="32">
        <f t="shared" si="13"/>
        <v>1.9929292863090566E-2</v>
      </c>
      <c r="I36" s="37">
        <f t="shared" si="14"/>
        <v>0.94789386306252255</v>
      </c>
      <c r="J36" s="37">
        <f t="shared" si="9"/>
        <v>1.8890854400099275E-2</v>
      </c>
      <c r="K36" s="37">
        <f t="shared" si="10"/>
        <v>4.6922421793123643</v>
      </c>
      <c r="L36" s="37">
        <f>SUM(K36:K$43)</f>
        <v>30.507695289994615</v>
      </c>
      <c r="M36" s="34">
        <f t="shared" si="11"/>
        <v>32.184716537174523</v>
      </c>
      <c r="O36">
        <f t="shared" si="15"/>
        <v>-1.7005081107880251</v>
      </c>
    </row>
    <row r="37" spans="1:15" x14ac:dyDescent="0.35">
      <c r="A37" s="10">
        <f t="shared" si="12"/>
        <v>57.5</v>
      </c>
      <c r="B37" s="2" t="s">
        <v>19</v>
      </c>
      <c r="C37" s="11"/>
      <c r="D37" s="23">
        <v>55</v>
      </c>
      <c r="E37" s="31">
        <v>5</v>
      </c>
      <c r="F37" s="32">
        <v>6.3203080000000002E-3</v>
      </c>
      <c r="G37" s="33">
        <f t="shared" si="16"/>
        <v>2.5</v>
      </c>
      <c r="H37" s="32">
        <f t="shared" si="13"/>
        <v>3.1109978386805119E-2</v>
      </c>
      <c r="I37" s="37">
        <f t="shared" si="14"/>
        <v>0.92900300866242325</v>
      </c>
      <c r="J37" s="37">
        <f t="shared" si="9"/>
        <v>2.8901263520764917E-2</v>
      </c>
      <c r="K37" s="37">
        <f t="shared" si="10"/>
        <v>4.5727618845102036</v>
      </c>
      <c r="L37" s="37">
        <f>SUM(K37:K$43)</f>
        <v>25.815453110682249</v>
      </c>
      <c r="M37" s="34">
        <f t="shared" si="11"/>
        <v>27.788341770659375</v>
      </c>
      <c r="O37">
        <f t="shared" si="15"/>
        <v>-1.5071002906108251</v>
      </c>
    </row>
    <row r="38" spans="1:15" x14ac:dyDescent="0.35">
      <c r="A38" s="10">
        <f t="shared" si="12"/>
        <v>62.5</v>
      </c>
      <c r="B38" s="2" t="s">
        <v>20</v>
      </c>
      <c r="C38" s="11"/>
      <c r="D38" s="23">
        <v>60</v>
      </c>
      <c r="E38" s="31">
        <v>5</v>
      </c>
      <c r="F38" s="32">
        <v>9.7162210000000006E-3</v>
      </c>
      <c r="G38" s="33">
        <f t="shared" si="16"/>
        <v>2.5</v>
      </c>
      <c r="H38" s="32">
        <f t="shared" si="13"/>
        <v>4.7429027712329708E-2</v>
      </c>
      <c r="I38" s="37">
        <f t="shared" si="14"/>
        <v>0.9001017451416583</v>
      </c>
      <c r="J38" s="37">
        <f t="shared" si="9"/>
        <v>4.2690950614240046E-2</v>
      </c>
      <c r="K38" s="37">
        <f t="shared" si="10"/>
        <v>4.3937813491726914</v>
      </c>
      <c r="L38" s="37">
        <f>SUM(K38:K$43)</f>
        <v>21.242691226172049</v>
      </c>
      <c r="M38" s="34">
        <f t="shared" si="11"/>
        <v>23.600322231159399</v>
      </c>
      <c r="O38">
        <f t="shared" si="15"/>
        <v>-1.3239557782260143</v>
      </c>
    </row>
    <row r="39" spans="1:15" x14ac:dyDescent="0.35">
      <c r="A39" s="10">
        <f t="shared" si="12"/>
        <v>67.5</v>
      </c>
      <c r="B39" s="2" t="s">
        <v>21</v>
      </c>
      <c r="C39" s="11"/>
      <c r="D39" s="23">
        <v>65</v>
      </c>
      <c r="E39" s="31">
        <v>5</v>
      </c>
      <c r="F39" s="32">
        <v>1.5663481E-2</v>
      </c>
      <c r="G39" s="33">
        <f t="shared" si="16"/>
        <v>2.5</v>
      </c>
      <c r="H39" s="32">
        <f t="shared" si="13"/>
        <v>7.536616381269251E-2</v>
      </c>
      <c r="I39" s="37">
        <f t="shared" si="14"/>
        <v>0.85741079452741831</v>
      </c>
      <c r="J39" s="37">
        <f t="shared" si="9"/>
        <v>6.461976239512425E-2</v>
      </c>
      <c r="K39" s="37">
        <f t="shared" si="10"/>
        <v>4.1255045666492807</v>
      </c>
      <c r="L39" s="37">
        <f>SUM(K39:K$43)</f>
        <v>16.848909876999357</v>
      </c>
      <c r="M39" s="34">
        <f t="shared" si="11"/>
        <v>19.65091877142277</v>
      </c>
      <c r="O39">
        <f t="shared" si="15"/>
        <v>-1.1228235900403982</v>
      </c>
    </row>
    <row r="40" spans="1:15" x14ac:dyDescent="0.35">
      <c r="A40" s="10">
        <f t="shared" si="12"/>
        <v>72.5</v>
      </c>
      <c r="B40" s="2" t="s">
        <v>22</v>
      </c>
      <c r="C40" s="11"/>
      <c r="D40" s="23">
        <v>70</v>
      </c>
      <c r="E40" s="31">
        <v>5</v>
      </c>
      <c r="F40" s="32">
        <v>2.3531296E-2</v>
      </c>
      <c r="G40" s="33">
        <f t="shared" si="16"/>
        <v>2.5</v>
      </c>
      <c r="H40" s="32">
        <f t="shared" si="13"/>
        <v>0.11111951453051537</v>
      </c>
      <c r="I40" s="37">
        <f t="shared" si="14"/>
        <v>0.79279103213229407</v>
      </c>
      <c r="J40" s="37">
        <f t="shared" si="9"/>
        <v>8.8094554614686724E-2</v>
      </c>
      <c r="K40" s="37">
        <f t="shared" si="10"/>
        <v>3.7437187741247535</v>
      </c>
      <c r="L40" s="37">
        <f>SUM(K40:K$43)</f>
        <v>12.723405310350078</v>
      </c>
      <c r="M40" s="34">
        <f t="shared" si="11"/>
        <v>16.048876431068038</v>
      </c>
      <c r="O40">
        <f t="shared" si="15"/>
        <v>-0.95420966465326007</v>
      </c>
    </row>
    <row r="41" spans="1:15" x14ac:dyDescent="0.35">
      <c r="A41" s="10">
        <f t="shared" si="12"/>
        <v>77.5</v>
      </c>
      <c r="B41" s="2" t="s">
        <v>23</v>
      </c>
      <c r="C41" s="11"/>
      <c r="D41" s="23">
        <v>75</v>
      </c>
      <c r="E41" s="31">
        <v>5</v>
      </c>
      <c r="F41" s="32">
        <v>3.7957299E-2</v>
      </c>
      <c r="G41" s="33">
        <f t="shared" si="16"/>
        <v>2.5</v>
      </c>
      <c r="H41" s="32">
        <f t="shared" si="13"/>
        <v>0.17333789886214457</v>
      </c>
      <c r="I41" s="37">
        <f t="shared" si="14"/>
        <v>0.70469647751760733</v>
      </c>
      <c r="J41" s="37">
        <f t="shared" si="9"/>
        <v>0.12215060674845656</v>
      </c>
      <c r="K41" s="37">
        <f t="shared" si="10"/>
        <v>3.218105870716895</v>
      </c>
      <c r="L41" s="37">
        <f>SUM(K41:K$43)</f>
        <v>8.9796865362253229</v>
      </c>
      <c r="M41" s="34">
        <f t="shared" si="11"/>
        <v>12.742630086441661</v>
      </c>
      <c r="O41">
        <f t="shared" si="15"/>
        <v>-0.76110647209722504</v>
      </c>
    </row>
    <row r="42" spans="1:15" x14ac:dyDescent="0.35">
      <c r="A42" s="10">
        <f t="shared" si="12"/>
        <v>82.5</v>
      </c>
      <c r="B42" s="2" t="s">
        <v>24</v>
      </c>
      <c r="C42" s="11"/>
      <c r="D42" s="23">
        <v>80</v>
      </c>
      <c r="E42" s="31">
        <v>5</v>
      </c>
      <c r="F42" s="32">
        <v>6.6597974000000004E-2</v>
      </c>
      <c r="G42" s="33">
        <f t="shared" si="16"/>
        <v>2.5</v>
      </c>
      <c r="H42" s="32">
        <f t="shared" si="13"/>
        <v>0.28546190815650652</v>
      </c>
      <c r="I42" s="37">
        <f t="shared" si="14"/>
        <v>0.58254587076915076</v>
      </c>
      <c r="J42" s="37">
        <f t="shared" si="9"/>
        <v>0.16629465585845543</v>
      </c>
      <c r="K42" s="37">
        <f t="shared" si="10"/>
        <v>2.4969927141996151</v>
      </c>
      <c r="L42" s="37">
        <f>SUM(K42:K$43)</f>
        <v>5.7615806655084292</v>
      </c>
      <c r="M42" s="34">
        <f t="shared" si="11"/>
        <v>9.8903467599920702</v>
      </c>
      <c r="O42">
        <f t="shared" si="15"/>
        <v>-0.544451835513174</v>
      </c>
    </row>
    <row r="43" spans="1:15" ht="15" thickBot="1" x14ac:dyDescent="0.4">
      <c r="A43" s="10">
        <f t="shared" si="12"/>
        <v>92.842831046172961</v>
      </c>
      <c r="B43" s="2" t="s">
        <v>25</v>
      </c>
      <c r="C43" s="11"/>
      <c r="D43" s="24">
        <v>85</v>
      </c>
      <c r="E43" s="31" t="s">
        <v>39</v>
      </c>
      <c r="F43" s="32">
        <v>0.12750497799999999</v>
      </c>
      <c r="G43" s="33">
        <f>1/F43</f>
        <v>7.8428310461729582</v>
      </c>
      <c r="H43" s="32">
        <v>1</v>
      </c>
      <c r="I43" s="37">
        <f t="shared" si="14"/>
        <v>0.41625121491069533</v>
      </c>
      <c r="J43" s="37">
        <f t="shared" si="9"/>
        <v>0.41625121491069533</v>
      </c>
      <c r="K43" s="37">
        <f>I43/F43</f>
        <v>3.2645879513088136</v>
      </c>
      <c r="L43" s="37">
        <f>SUM(K43:K$43)</f>
        <v>3.2645879513088136</v>
      </c>
      <c r="M43" s="34">
        <f t="shared" si="11"/>
        <v>7.8428310461729582</v>
      </c>
      <c r="O43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40CC-4D66-4F03-972C-01696B0E52C7}">
  <dimension ref="B2:K10"/>
  <sheetViews>
    <sheetView zoomScale="79" zoomScaleNormal="143" workbookViewId="0">
      <selection activeCell="B3" sqref="B3:K10"/>
    </sheetView>
  </sheetViews>
  <sheetFormatPr baseColWidth="10" defaultRowHeight="14.5" x14ac:dyDescent="0.35"/>
  <cols>
    <col min="3" max="3" width="7.81640625" bestFit="1" customWidth="1"/>
    <col min="4" max="4" width="26.36328125" bestFit="1" customWidth="1"/>
    <col min="5" max="5" width="18.7265625" bestFit="1" customWidth="1"/>
    <col min="6" max="6" width="18.6328125" bestFit="1" customWidth="1"/>
    <col min="7" max="7" width="20.54296875" bestFit="1" customWidth="1"/>
    <col min="8" max="8" width="15.6328125" bestFit="1" customWidth="1"/>
    <col min="9" max="9" width="21.08984375" bestFit="1" customWidth="1"/>
    <col min="10" max="10" width="25.26953125" bestFit="1" customWidth="1"/>
    <col min="11" max="11" width="15.54296875" bestFit="1" customWidth="1"/>
  </cols>
  <sheetData>
    <row r="2" spans="2:11" x14ac:dyDescent="0.35">
      <c r="E2" t="s">
        <v>60</v>
      </c>
    </row>
    <row r="3" spans="2:11" ht="15" thickBot="1" x14ac:dyDescent="0.4">
      <c r="B3" s="2"/>
      <c r="C3" s="2" t="s">
        <v>59</v>
      </c>
      <c r="D3" s="30" t="s">
        <v>58</v>
      </c>
      <c r="E3" s="30" t="s">
        <v>47</v>
      </c>
      <c r="F3" s="30" t="s">
        <v>51</v>
      </c>
      <c r="G3" s="30" t="s">
        <v>55</v>
      </c>
      <c r="H3" s="30" t="s">
        <v>56</v>
      </c>
      <c r="I3" s="30" t="s">
        <v>57</v>
      </c>
      <c r="J3" s="30" t="s">
        <v>53</v>
      </c>
      <c r="K3" s="30" t="s">
        <v>54</v>
      </c>
    </row>
    <row r="4" spans="2:11" ht="15" thickBot="1" x14ac:dyDescent="0.4">
      <c r="B4" s="6" t="s">
        <v>59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8" t="s">
        <v>36</v>
      </c>
    </row>
    <row r="5" spans="2:11" x14ac:dyDescent="0.35">
      <c r="B5" s="12">
        <v>0</v>
      </c>
      <c r="C5" s="2">
        <v>400</v>
      </c>
      <c r="D5" s="39">
        <f>-F5/(F5*C5-F5*E5-C5)</f>
        <v>4.9868825764429164E-5</v>
      </c>
      <c r="E5" s="13">
        <f>1/9*C5</f>
        <v>44.444444444444443</v>
      </c>
      <c r="F5" s="3">
        <v>1.9599999999999999E-2</v>
      </c>
      <c r="G5" s="40">
        <v>1000</v>
      </c>
      <c r="H5" s="41">
        <f>G5*F5</f>
        <v>19.599999999999998</v>
      </c>
      <c r="I5" s="41">
        <f t="shared" ref="I5:I10" si="0">(G6*C5)+(H5*E5)</f>
        <v>393031.11111111112</v>
      </c>
      <c r="J5" s="41">
        <f>SUM(I5:I$9)</f>
        <v>656711.33110847475</v>
      </c>
      <c r="K5" s="10">
        <f>J5/G5</f>
        <v>656.71133110847472</v>
      </c>
    </row>
    <row r="6" spans="2:11" x14ac:dyDescent="0.35">
      <c r="B6" s="38">
        <v>400</v>
      </c>
      <c r="C6" s="2">
        <v>200</v>
      </c>
      <c r="D6" s="3">
        <f>-F6/(F6*C6-F6*E6-C6)</f>
        <v>2.2056539297918608E-3</v>
      </c>
      <c r="E6" s="13">
        <f>9/20*C6</f>
        <v>90</v>
      </c>
      <c r="F6" s="3">
        <v>0.35499999999999998</v>
      </c>
      <c r="G6" s="41">
        <f>G5-(G5*F5)</f>
        <v>980.4</v>
      </c>
      <c r="H6" s="41">
        <f>F6*G6</f>
        <v>348.04199999999997</v>
      </c>
      <c r="I6" s="41">
        <f>(G7*C6)+(H6*E6)</f>
        <v>157795.38</v>
      </c>
      <c r="J6" s="41">
        <f>SUM(I6:I$21)</f>
        <v>263680.21999736357</v>
      </c>
      <c r="K6" s="10">
        <f t="shared" ref="K5:K10" si="1">J6/G6</f>
        <v>268.95167278392859</v>
      </c>
    </row>
    <row r="7" spans="2:11" x14ac:dyDescent="0.35">
      <c r="B7" s="38">
        <v>600</v>
      </c>
      <c r="C7" s="2">
        <v>200</v>
      </c>
      <c r="D7" s="3">
        <f t="shared" ref="D7:D9" si="2">-F7/(F7*C7-F7*E7-C7)</f>
        <v>4.5761970701843884E-3</v>
      </c>
      <c r="E7" s="13">
        <f>0.5*C7</f>
        <v>100</v>
      </c>
      <c r="F7" s="3">
        <v>0.62790000000000001</v>
      </c>
      <c r="G7" s="41">
        <f t="shared" ref="G7:G10" si="3">G6-H6</f>
        <v>632.35799999999995</v>
      </c>
      <c r="H7" s="41">
        <f t="shared" ref="H6:H10" si="4">F7*G7</f>
        <v>397.0575882</v>
      </c>
      <c r="I7" s="41">
        <f t="shared" si="0"/>
        <v>86765.841179999989</v>
      </c>
      <c r="J7" s="41">
        <f>SUM(I7:I$21)</f>
        <v>105884.83999736355</v>
      </c>
      <c r="K7" s="10">
        <f t="shared" si="1"/>
        <v>167.44445392857142</v>
      </c>
    </row>
    <row r="8" spans="2:11" x14ac:dyDescent="0.35">
      <c r="B8" s="38">
        <v>800</v>
      </c>
      <c r="C8" s="2">
        <v>100</v>
      </c>
      <c r="D8" s="3">
        <f t="shared" si="2"/>
        <v>1.0966942788573197E-2</v>
      </c>
      <c r="E8" s="13">
        <f>0.5*C8</f>
        <v>50</v>
      </c>
      <c r="F8" s="3">
        <v>0.70830000000000004</v>
      </c>
      <c r="G8" s="41">
        <f t="shared" si="3"/>
        <v>235.30041179999995</v>
      </c>
      <c r="H8" s="41">
        <f t="shared" si="4"/>
        <v>166.66328167793998</v>
      </c>
      <c r="I8" s="41">
        <f t="shared" si="0"/>
        <v>15196.877096102997</v>
      </c>
      <c r="J8" s="41">
        <f>SUM(I8:I$21)</f>
        <v>19118.998817363565</v>
      </c>
      <c r="K8" s="10">
        <f t="shared" si="1"/>
        <v>81.253571428571419</v>
      </c>
    </row>
    <row r="9" spans="2:11" ht="15" thickBot="1" x14ac:dyDescent="0.4">
      <c r="B9" s="15">
        <v>900</v>
      </c>
      <c r="C9" s="2">
        <v>100</v>
      </c>
      <c r="D9" s="3">
        <f t="shared" si="2"/>
        <v>1.7500000000000002E-2</v>
      </c>
      <c r="E9" s="29">
        <f>4/7*C9</f>
        <v>57.142857142857139</v>
      </c>
      <c r="F9" s="28">
        <v>1</v>
      </c>
      <c r="G9" s="41">
        <f t="shared" si="3"/>
        <v>68.637130122059972</v>
      </c>
      <c r="H9" s="41">
        <f t="shared" si="4"/>
        <v>68.637130122059972</v>
      </c>
      <c r="I9" s="40">
        <f>G9/D9</f>
        <v>3922.1217212605693</v>
      </c>
      <c r="J9" s="41">
        <f>SUM(I9:I$21)</f>
        <v>3922.1217212605693</v>
      </c>
      <c r="K9" s="10">
        <f t="shared" si="1"/>
        <v>57.142857142857139</v>
      </c>
    </row>
    <row r="10" spans="2:11" x14ac:dyDescent="0.35">
      <c r="B10" s="14"/>
      <c r="C10" s="2"/>
      <c r="D10" s="3"/>
      <c r="E10" s="13"/>
      <c r="F10" s="3"/>
      <c r="G10" s="35"/>
      <c r="H10" s="35"/>
      <c r="I10" s="35"/>
      <c r="J10" s="35"/>
      <c r="K1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A51-A305-42D2-BB66-0FE5DFC69269}">
  <dimension ref="B2:K19"/>
  <sheetViews>
    <sheetView tabSelected="1" zoomScale="151" workbookViewId="0">
      <selection activeCell="H4" sqref="H4"/>
    </sheetView>
  </sheetViews>
  <sheetFormatPr baseColWidth="10" defaultRowHeight="14.5" x14ac:dyDescent="0.35"/>
  <cols>
    <col min="4" max="4" width="26.36328125" bestFit="1" customWidth="1"/>
    <col min="5" max="5" width="18.7265625" bestFit="1" customWidth="1"/>
    <col min="6" max="6" width="18.6328125" bestFit="1" customWidth="1"/>
    <col min="7" max="7" width="20.54296875" bestFit="1" customWidth="1"/>
    <col min="8" max="8" width="15.6328125" bestFit="1" customWidth="1"/>
    <col min="9" max="9" width="21.08984375" bestFit="1" customWidth="1"/>
    <col min="10" max="10" width="25.26953125" bestFit="1" customWidth="1"/>
    <col min="11" max="11" width="15.54296875" bestFit="1" customWidth="1"/>
  </cols>
  <sheetData>
    <row r="2" spans="2:11" ht="15" thickBot="1" x14ac:dyDescent="0.4">
      <c r="B2" s="2"/>
      <c r="C2" s="2" t="s">
        <v>59</v>
      </c>
      <c r="D2" s="30" t="s">
        <v>58</v>
      </c>
      <c r="E2" s="30" t="s">
        <v>47</v>
      </c>
      <c r="F2" s="30" t="s">
        <v>51</v>
      </c>
      <c r="G2" s="30" t="s">
        <v>55</v>
      </c>
      <c r="H2" s="30" t="s">
        <v>56</v>
      </c>
      <c r="I2" s="30" t="s">
        <v>57</v>
      </c>
      <c r="J2" s="30" t="s">
        <v>53</v>
      </c>
      <c r="K2" s="30" t="s">
        <v>54</v>
      </c>
    </row>
    <row r="3" spans="2:11" ht="15" thickBot="1" x14ac:dyDescent="0.4">
      <c r="B3" s="6" t="s">
        <v>59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8" t="s">
        <v>36</v>
      </c>
    </row>
    <row r="4" spans="2:11" x14ac:dyDescent="0.35">
      <c r="B4" s="12">
        <v>0</v>
      </c>
      <c r="C4" s="2">
        <v>400</v>
      </c>
      <c r="D4" s="39">
        <f>-F4/(F4*C4-F4*E4-C4)</f>
        <v>4.9868825764429164E-5</v>
      </c>
      <c r="E4" s="13">
        <f>1/9*C4</f>
        <v>44.444444444444443</v>
      </c>
      <c r="F4" s="3">
        <v>1.9599999999999999E-2</v>
      </c>
      <c r="G4" s="40">
        <v>1000</v>
      </c>
      <c r="H4" s="41">
        <f>G4*F4</f>
        <v>19.599999999999998</v>
      </c>
      <c r="I4" s="41">
        <f t="shared" ref="I4:I7" si="0">(G5*C4)+(H4*E4)</f>
        <v>393031.11111111112</v>
      </c>
      <c r="J4" s="41">
        <f>SUM(I4:I$9)</f>
        <v>656711.33110847475</v>
      </c>
      <c r="K4" s="10">
        <f>J4/G4</f>
        <v>656.71133110847472</v>
      </c>
    </row>
    <row r="5" spans="2:11" x14ac:dyDescent="0.35">
      <c r="B5" s="38">
        <v>400</v>
      </c>
      <c r="C5" s="2">
        <v>200</v>
      </c>
      <c r="D5" s="3">
        <f>-F5/(F5*C5-F5*E5-C5)</f>
        <v>2.2056539297918608E-3</v>
      </c>
      <c r="E5" s="13">
        <f>9/20*C5</f>
        <v>90</v>
      </c>
      <c r="F5" s="3">
        <v>0.35499999999999998</v>
      </c>
      <c r="G5" s="41">
        <f>G4-(G4*F4)</f>
        <v>980.4</v>
      </c>
      <c r="H5" s="41">
        <f>F5*G5</f>
        <v>348.04199999999997</v>
      </c>
      <c r="I5" s="41">
        <f>(G6*C5)+(H5*E5)</f>
        <v>157795.38</v>
      </c>
      <c r="J5" s="41">
        <f>SUM(I5:I$21)</f>
        <v>263680.21999736357</v>
      </c>
      <c r="K5" s="10">
        <f t="shared" ref="K5:K8" si="1">J5/G5</f>
        <v>268.95167278392859</v>
      </c>
    </row>
    <row r="6" spans="2:11" x14ac:dyDescent="0.35">
      <c r="B6" s="38">
        <v>600</v>
      </c>
      <c r="C6" s="2">
        <v>200</v>
      </c>
      <c r="D6" s="3">
        <f t="shared" ref="D6:D8" si="2">-F6/(F6*C6-F6*E6-C6)</f>
        <v>4.5761970701843884E-3</v>
      </c>
      <c r="E6" s="13">
        <f>0.5*C6</f>
        <v>100</v>
      </c>
      <c r="F6" s="3">
        <v>0.62790000000000001</v>
      </c>
      <c r="G6" s="41">
        <f t="shared" ref="G6:G8" si="3">G5-H5</f>
        <v>632.35799999999995</v>
      </c>
      <c r="H6" s="41">
        <f t="shared" ref="H6:H8" si="4">F6*G6</f>
        <v>397.0575882</v>
      </c>
      <c r="I6" s="41">
        <f t="shared" si="0"/>
        <v>86765.841179999989</v>
      </c>
      <c r="J6" s="41">
        <f>SUM(I6:I$21)</f>
        <v>105884.83999736355</v>
      </c>
      <c r="K6" s="10">
        <f t="shared" si="1"/>
        <v>167.44445392857142</v>
      </c>
    </row>
    <row r="7" spans="2:11" x14ac:dyDescent="0.35">
      <c r="B7" s="38">
        <v>800</v>
      </c>
      <c r="C7" s="2">
        <v>100</v>
      </c>
      <c r="D7" s="3">
        <f t="shared" si="2"/>
        <v>1.0966942788573197E-2</v>
      </c>
      <c r="E7" s="13">
        <f>0.5*C7</f>
        <v>50</v>
      </c>
      <c r="F7" s="3">
        <v>0.70830000000000004</v>
      </c>
      <c r="G7" s="41">
        <f t="shared" si="3"/>
        <v>235.30041179999995</v>
      </c>
      <c r="H7" s="41">
        <f t="shared" si="4"/>
        <v>166.66328167793998</v>
      </c>
      <c r="I7" s="41">
        <f t="shared" si="0"/>
        <v>15196.877096102997</v>
      </c>
      <c r="J7" s="41">
        <f>SUM(I7:I$21)</f>
        <v>19118.998817363565</v>
      </c>
      <c r="K7" s="10">
        <f t="shared" si="1"/>
        <v>81.253571428571419</v>
      </c>
    </row>
    <row r="8" spans="2:11" ht="15" thickBot="1" x14ac:dyDescent="0.4">
      <c r="B8" s="15">
        <v>900</v>
      </c>
      <c r="C8" s="2">
        <v>100</v>
      </c>
      <c r="D8" s="3">
        <f t="shared" si="2"/>
        <v>1.7500000000000002E-2</v>
      </c>
      <c r="E8" s="29">
        <f>4/7*C8</f>
        <v>57.142857142857139</v>
      </c>
      <c r="F8" s="28">
        <v>1</v>
      </c>
      <c r="G8" s="41">
        <f t="shared" si="3"/>
        <v>68.637130122059972</v>
      </c>
      <c r="H8" s="41">
        <f t="shared" si="4"/>
        <v>68.637130122059972</v>
      </c>
      <c r="I8" s="40">
        <f>G8/D8</f>
        <v>3922.1217212605693</v>
      </c>
      <c r="J8" s="41">
        <f>SUM(I8:I$21)</f>
        <v>3922.1217212605693</v>
      </c>
      <c r="K8" s="10">
        <f t="shared" si="1"/>
        <v>57.142857142857139</v>
      </c>
    </row>
    <row r="9" spans="2:11" x14ac:dyDescent="0.35">
      <c r="B9" s="14"/>
      <c r="C9" s="2"/>
      <c r="D9" s="3"/>
      <c r="E9" s="13"/>
      <c r="F9" s="3"/>
      <c r="G9" s="35"/>
      <c r="H9" s="35"/>
      <c r="I9" s="35"/>
      <c r="J9" s="35"/>
      <c r="K9" s="10"/>
    </row>
    <row r="13" spans="2:11" ht="15" thickBot="1" x14ac:dyDescent="0.4">
      <c r="B13" s="2"/>
      <c r="C13" s="2" t="s">
        <v>59</v>
      </c>
      <c r="D13" s="30" t="s">
        <v>58</v>
      </c>
    </row>
    <row r="14" spans="2:11" ht="15" thickBot="1" x14ac:dyDescent="0.4">
      <c r="B14" s="6" t="s">
        <v>59</v>
      </c>
      <c r="C14" s="7" t="s">
        <v>28</v>
      </c>
      <c r="D14" s="7" t="s">
        <v>29</v>
      </c>
      <c r="E14" s="7" t="s">
        <v>32</v>
      </c>
    </row>
    <row r="15" spans="2:11" x14ac:dyDescent="0.35">
      <c r="B15" s="12">
        <v>0</v>
      </c>
      <c r="C15" s="2">
        <v>400</v>
      </c>
      <c r="D15" s="39">
        <v>4.0000000000000003E-5</v>
      </c>
      <c r="E15" s="41">
        <v>1000</v>
      </c>
      <c r="F15">
        <f>E15*D15</f>
        <v>0.04</v>
      </c>
    </row>
    <row r="16" spans="2:11" x14ac:dyDescent="0.35">
      <c r="B16" s="38">
        <v>400</v>
      </c>
      <c r="C16" s="2">
        <v>200</v>
      </c>
      <c r="D16" s="3">
        <v>2.0100000000000001E-3</v>
      </c>
      <c r="E16" s="41">
        <v>980.4</v>
      </c>
      <c r="F16">
        <f t="shared" ref="F16:F19" si="5">D16/E16*1000</f>
        <v>2.0501835985312121E-3</v>
      </c>
    </row>
    <row r="17" spans="2:6" x14ac:dyDescent="0.35">
      <c r="B17" s="38">
        <v>600</v>
      </c>
      <c r="C17" s="2">
        <v>200</v>
      </c>
      <c r="D17" s="3">
        <v>4.5500000000000002E-3</v>
      </c>
      <c r="E17" s="41">
        <v>632.35799999999995</v>
      </c>
      <c r="F17">
        <f t="shared" si="5"/>
        <v>7.1952912748791042E-3</v>
      </c>
    </row>
    <row r="18" spans="2:6" x14ac:dyDescent="0.35">
      <c r="B18" s="38">
        <v>800</v>
      </c>
      <c r="C18" s="2">
        <v>100</v>
      </c>
      <c r="D18" s="3">
        <v>1.094E-2</v>
      </c>
      <c r="E18" s="41">
        <v>235.30041179999995</v>
      </c>
      <c r="F18">
        <f t="shared" si="5"/>
        <v>4.6493756285045318E-2</v>
      </c>
    </row>
    <row r="19" spans="2:6" ht="15" thickBot="1" x14ac:dyDescent="0.4">
      <c r="B19" s="15">
        <v>900</v>
      </c>
      <c r="C19" s="2">
        <v>100</v>
      </c>
      <c r="D19" s="3">
        <v>3.1E-2</v>
      </c>
      <c r="E19" s="41">
        <v>68.637130122059972</v>
      </c>
      <c r="F19">
        <f t="shared" si="5"/>
        <v>0.4516505854028503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WHO 2019ASDRMex</vt:lpstr>
      <vt:lpstr>LT Mex 2019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Reyes Cortes</dc:creator>
  <cp:lastModifiedBy>Heriberto Espino</cp:lastModifiedBy>
  <dcterms:created xsi:type="dcterms:W3CDTF">2025-03-04T20:12:14Z</dcterms:created>
  <dcterms:modified xsi:type="dcterms:W3CDTF">2025-03-18T21:45:09Z</dcterms:modified>
</cp:coreProperties>
</file>