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conde/Downloads/"/>
    </mc:Choice>
  </mc:AlternateContent>
  <xr:revisionPtr revIDLastSave="0" documentId="13_ncr:1_{53702FB0-FD82-E64E-B6A6-0A26B43C5FF3}" xr6:coauthVersionLast="47" xr6:coauthVersionMax="47" xr10:uidLastSave="{00000000-0000-0000-0000-000000000000}"/>
  <bookViews>
    <workbookView xWindow="0" yWindow="840" windowWidth="34200" windowHeight="21400" activeTab="3" xr2:uid="{545A132A-77F4-4ACE-BE3C-4DA93B691795}"/>
  </bookViews>
  <sheets>
    <sheet name="Sheet1" sheetId="1" r:id="rId1"/>
    <sheet name="Curva de supervivencia + Reina" sheetId="3" r:id="rId2"/>
    <sheet name="Curva de supervivencia - Reina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2" l="1"/>
  <c r="V20" i="2"/>
  <c r="W10" i="2"/>
  <c r="V10" i="2"/>
  <c r="I10" i="2"/>
  <c r="T20" i="2"/>
  <c r="S20" i="2"/>
  <c r="R20" i="2"/>
  <c r="T10" i="2"/>
  <c r="S10" i="2"/>
  <c r="R10" i="2"/>
  <c r="P21" i="2"/>
  <c r="P22" i="2"/>
  <c r="P23" i="2"/>
  <c r="P24" i="2"/>
  <c r="P25" i="2"/>
  <c r="P26" i="2"/>
  <c r="P20" i="2"/>
  <c r="P11" i="2"/>
  <c r="P12" i="2"/>
  <c r="P13" i="2"/>
  <c r="P14" i="2"/>
  <c r="P15" i="2"/>
  <c r="P16" i="2"/>
  <c r="P10" i="2"/>
  <c r="L26" i="2"/>
  <c r="G26" i="2"/>
  <c r="L21" i="2"/>
  <c r="L22" i="2"/>
  <c r="L23" i="2"/>
  <c r="L24" i="2"/>
  <c r="L25" i="2"/>
  <c r="L20" i="2"/>
  <c r="L16" i="2"/>
  <c r="M16" i="2"/>
  <c r="G16" i="2"/>
  <c r="L11" i="2"/>
  <c r="L12" i="2"/>
  <c r="L13" i="2"/>
  <c r="L14" i="2"/>
  <c r="L15" i="2"/>
  <c r="M14" i="2" s="1"/>
  <c r="L10" i="2"/>
  <c r="J20" i="2"/>
  <c r="J26" i="2"/>
  <c r="J25" i="2"/>
  <c r="J24" i="2"/>
  <c r="K24" i="2" s="1"/>
  <c r="J23" i="2"/>
  <c r="K23" i="2" s="1"/>
  <c r="K22" i="2"/>
  <c r="I22" i="2" s="1"/>
  <c r="J22" i="2"/>
  <c r="K21" i="2"/>
  <c r="I21" i="2" s="1"/>
  <c r="J21" i="2"/>
  <c r="K20" i="2"/>
  <c r="I20" i="2" s="1"/>
  <c r="K11" i="2"/>
  <c r="K12" i="2"/>
  <c r="K13" i="2"/>
  <c r="K14" i="2"/>
  <c r="K15" i="2"/>
  <c r="K16" i="2"/>
  <c r="K10" i="2"/>
  <c r="J11" i="2"/>
  <c r="J12" i="2"/>
  <c r="J13" i="2"/>
  <c r="J14" i="2"/>
  <c r="J15" i="2"/>
  <c r="J16" i="2"/>
  <c r="J10" i="2"/>
  <c r="M24" i="2" l="1"/>
  <c r="N24" i="2" s="1"/>
  <c r="M21" i="2"/>
  <c r="N21" i="2" s="1"/>
  <c r="M20" i="2"/>
  <c r="N20" i="2" s="1"/>
  <c r="M13" i="2"/>
  <c r="M15" i="2"/>
  <c r="M11" i="2"/>
  <c r="M10" i="2"/>
  <c r="M12" i="2"/>
  <c r="M23" i="2"/>
  <c r="N23" i="2" s="1"/>
  <c r="M26" i="2"/>
  <c r="N26" i="2" s="1"/>
  <c r="M22" i="2"/>
  <c r="N22" i="2" s="1"/>
  <c r="M25" i="2"/>
  <c r="N25" i="2" s="1"/>
  <c r="I24" i="2"/>
  <c r="G24" i="2"/>
  <c r="I23" i="2"/>
  <c r="G23" i="2"/>
  <c r="G22" i="2"/>
  <c r="G20" i="2"/>
  <c r="G21" i="2"/>
  <c r="K26" i="2"/>
  <c r="K25" i="2"/>
  <c r="I11" i="2"/>
  <c r="I25" i="2" l="1"/>
  <c r="G25" i="2"/>
  <c r="I26" i="2"/>
  <c r="I12" i="2"/>
  <c r="G10" i="2"/>
  <c r="E12" i="1"/>
  <c r="E13" i="1"/>
  <c r="E14" i="1"/>
  <c r="E15" i="1"/>
  <c r="E16" i="1"/>
  <c r="E17" i="1"/>
  <c r="E11" i="1"/>
  <c r="G11" i="2" l="1"/>
  <c r="I13" i="2"/>
  <c r="G12" i="2" l="1"/>
  <c r="I14" i="2"/>
  <c r="I15" i="2" l="1"/>
  <c r="G13" i="2"/>
  <c r="I16" i="2" l="1"/>
  <c r="G14" i="2"/>
  <c r="G15" i="2" l="1"/>
  <c r="N10" i="2" l="1"/>
  <c r="N12" i="2"/>
  <c r="N14" i="2"/>
  <c r="N11" i="2"/>
  <c r="N13" i="2"/>
  <c r="N15" i="2"/>
  <c r="N16" i="2"/>
</calcChain>
</file>

<file path=xl/sharedStrings.xml><?xml version="1.0" encoding="utf-8"?>
<sst xmlns="http://schemas.openxmlformats.org/spreadsheetml/2006/main" count="135" uniqueCount="52">
  <si>
    <t>0-10</t>
  </si>
  <si>
    <t xml:space="preserve"> 10-20</t>
  </si>
  <si>
    <t>20-30</t>
  </si>
  <si>
    <t>30-40</t>
  </si>
  <si>
    <t>40-50</t>
  </si>
  <si>
    <t>50-60</t>
  </si>
  <si>
    <t>x</t>
  </si>
  <si>
    <t>g_x</t>
  </si>
  <si>
    <t>QRC</t>
  </si>
  <si>
    <t>QLC</t>
  </si>
  <si>
    <t xml:space="preserve">Remarks: </t>
  </si>
  <si>
    <t>2/5 in the second interval</t>
  </si>
  <si>
    <t>3/5 in the third interval</t>
  </si>
  <si>
    <t>1/2 in the fourth</t>
  </si>
  <si>
    <t>1/2 in the fifth</t>
  </si>
  <si>
    <t>2/5 in the sixth</t>
  </si>
  <si>
    <t>3/5 in the fourth</t>
  </si>
  <si>
    <t xml:space="preserve">2) Construct the survivors curve for QRC and QLC and make some comments on that. </t>
  </si>
  <si>
    <t xml:space="preserve">3) Construct the Log 10 probabilities of death curve for both colonies. Make some comments. </t>
  </si>
  <si>
    <t>Compare the population structure of both colonies by calculating some ageing indexes: % 40+, %50+, %60+</t>
  </si>
  <si>
    <t>Which colony has an older population?</t>
  </si>
  <si>
    <t xml:space="preserve">In principle, Where is mortality more intense? </t>
  </si>
  <si>
    <t xml:space="preserve">6) Make a CDR Type-1 standardization for both colonies. As a reference population structure, consider the average of both colonies' population structure. </t>
  </si>
  <si>
    <t xml:space="preserve">5) Consider the set of ASDRs and, by definition, calculate the CDR for both colonies. Interpret those CDRs expressed in deaths by 1000 bumblebees. </t>
  </si>
  <si>
    <t>Would you say it is fair to compare colonies' mortality just based on the CDRs? Explain your answer.</t>
  </si>
  <si>
    <t>Which colony has better life conditions, QRC or QLC?</t>
  </si>
  <si>
    <t>Once obtained the CDR Type-1 standardization, give an interpretation and conclude with respect to what was obtained in 5)</t>
  </si>
  <si>
    <r>
      <t xml:space="preserve">A bumblebee </t>
    </r>
    <r>
      <rPr>
        <i/>
        <sz val="12"/>
        <color rgb="FF000000"/>
        <rFont val="Corbel"/>
        <family val="2"/>
      </rPr>
      <t>Bombus atratus</t>
    </r>
    <r>
      <rPr>
        <sz val="12"/>
        <color rgb="FF000000"/>
        <rFont val="Corbel"/>
        <family val="2"/>
      </rPr>
      <t xml:space="preserve"> in the peruvian jungle.</t>
    </r>
  </si>
  <si>
    <r>
      <t xml:space="preserve">4) Imagine that the column of survivors </t>
    </r>
    <r>
      <rPr>
        <i/>
        <sz val="12"/>
        <color theme="1"/>
        <rFont val="Corbel"/>
        <family val="2"/>
      </rPr>
      <t>l_x</t>
    </r>
    <r>
      <rPr>
        <sz val="12"/>
        <color theme="1"/>
        <rFont val="Corbel"/>
        <family val="2"/>
      </rPr>
      <t xml:space="preserve"> is an actual living population with that population structure by age group. </t>
    </r>
  </si>
  <si>
    <r>
      <t xml:space="preserve">1) Construct a life table for </t>
    </r>
    <r>
      <rPr>
        <i/>
        <sz val="12"/>
        <color theme="1"/>
        <rFont val="Corbel"/>
        <family val="2"/>
      </rPr>
      <t xml:space="preserve">Bombus atratus </t>
    </r>
    <r>
      <rPr>
        <sz val="12"/>
        <color theme="1"/>
        <rFont val="Corbel"/>
        <family val="2"/>
      </rPr>
      <t>for both, QRC and QLC.</t>
    </r>
  </si>
  <si>
    <t>1/5 in the first interval</t>
  </si>
  <si>
    <t>60+</t>
  </si>
  <si>
    <t xml:space="preserve">3. As for the last interval, the average lifespan was 1.2 days for QRC, and 3.5 days for QLC.  </t>
  </si>
  <si>
    <r>
      <rPr>
        <i/>
        <sz val="12"/>
        <color rgb="FF000000"/>
        <rFont val="Corbel"/>
        <family val="2"/>
      </rPr>
      <t xml:space="preserve">Bombus atratus </t>
    </r>
    <r>
      <rPr>
        <sz val="12"/>
        <color rgb="FF000000"/>
        <rFont val="Corbel"/>
        <family val="2"/>
      </rPr>
      <t xml:space="preserve">is a black bumblebee that inhabits most of South America. Researchers of population studies and ecologists are interested in knowing what are the effects of the presence of a queen on the living conditions of a colony, specifically on the living conditions of worker bumblebees. After some studies, proportions of survivors </t>
    </r>
    <r>
      <rPr>
        <i/>
        <sz val="12"/>
        <color rgb="FF000000"/>
        <rFont val="Corbel"/>
        <family val="2"/>
      </rPr>
      <t>g_x</t>
    </r>
    <r>
      <rPr>
        <sz val="12"/>
        <color rgb="FF000000"/>
        <rFont val="Corbel"/>
        <family val="2"/>
      </rPr>
      <t xml:space="preserve"> at the exact age</t>
    </r>
    <r>
      <rPr>
        <i/>
        <sz val="12"/>
        <color rgb="FF000000"/>
        <rFont val="Corbel"/>
        <family val="2"/>
      </rPr>
      <t xml:space="preserve"> x</t>
    </r>
    <r>
      <rPr>
        <sz val="12"/>
        <color rgb="FF000000"/>
        <rFont val="Corbel"/>
        <family val="2"/>
      </rPr>
      <t xml:space="preserve"> (in days) were obtained. The data is as follows: </t>
    </r>
    <r>
      <rPr>
        <b/>
        <sz val="12"/>
        <color rgb="FF000000"/>
        <rFont val="Corbel"/>
        <family val="2"/>
      </rPr>
      <t xml:space="preserve">QRC represent a colony with a queen,  QLC represents a colony without queen, and </t>
    </r>
    <r>
      <rPr>
        <b/>
        <i/>
        <sz val="12"/>
        <color rgb="FF000000"/>
        <rFont val="Corbel"/>
        <family val="2"/>
      </rPr>
      <t>x</t>
    </r>
    <r>
      <rPr>
        <b/>
        <sz val="12"/>
        <color rgb="FF000000"/>
        <rFont val="Corbel"/>
        <family val="2"/>
      </rPr>
      <t xml:space="preserve"> is the age at the begining of the interval.  </t>
    </r>
  </si>
  <si>
    <t>1. Notice that the last interval is open.</t>
  </si>
  <si>
    <t>2. Taking the interval length as a reference, researchers found that the lifespan of the bumblebees within each interval corresponded to the following fractions of its length:</t>
  </si>
  <si>
    <t>Age</t>
  </si>
  <si>
    <t>h</t>
  </si>
  <si>
    <t>M_[x,h]</t>
  </si>
  <si>
    <t>a_x,h</t>
  </si>
  <si>
    <t>q_x,h</t>
  </si>
  <si>
    <t>l_x M</t>
  </si>
  <si>
    <t>d_x,h</t>
  </si>
  <si>
    <t>L_x,h</t>
  </si>
  <si>
    <t>T_x</t>
  </si>
  <si>
    <t>e_x</t>
  </si>
  <si>
    <t>infinity</t>
  </si>
  <si>
    <t>log(10) [q] (M)</t>
  </si>
  <si>
    <t>40+</t>
  </si>
  <si>
    <t>50+</t>
  </si>
  <si>
    <t>CDR</t>
  </si>
  <si>
    <t>CDR*1000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</si>
</sst>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10" x14ac:knownFonts="1">
    <font>
      <sz val="11"/>
      <color theme="1"/>
      <name val="Calibri"/>
      <family val="2"/>
      <scheme val="minor"/>
    </font>
    <font>
      <i/>
      <sz val="12"/>
      <color rgb="FF000000"/>
      <name val="Corbel"/>
      <family val="2"/>
    </font>
    <font>
      <sz val="12"/>
      <color rgb="FF000000"/>
      <name val="Corbel"/>
      <family val="2"/>
    </font>
    <font>
      <b/>
      <sz val="12"/>
      <color rgb="FF000000"/>
      <name val="Corbel"/>
      <family val="2"/>
    </font>
    <font>
      <b/>
      <i/>
      <sz val="12"/>
      <color rgb="FF000000"/>
      <name val="Corbel"/>
      <family val="2"/>
    </font>
    <font>
      <sz val="12"/>
      <color theme="1"/>
      <name val="Corbel"/>
      <family val="2"/>
    </font>
    <font>
      <b/>
      <i/>
      <sz val="12"/>
      <color theme="1"/>
      <name val="Corbel"/>
      <family val="2"/>
    </font>
    <font>
      <i/>
      <sz val="12"/>
      <color theme="1"/>
      <name val="Corbel"/>
      <family val="2"/>
    </font>
    <font>
      <b/>
      <sz val="12"/>
      <color theme="1"/>
      <name val="Corbe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4" fontId="8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7" fontId="5" fillId="0" borderId="7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5" fillId="0" borderId="9" xfId="0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164" fontId="5" fillId="0" borderId="0" xfId="0" applyNumberFormat="1" applyFont="1" applyAlignment="1">
      <alignment horizontal="left" vertical="center" wrapText="1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9" fontId="9" fillId="3" borderId="2" xfId="0" applyNumberFormat="1" applyFont="1" applyFill="1" applyBorder="1" applyAlignment="1">
      <alignment horizontal="center"/>
    </xf>
    <xf numFmtId="9" fontId="9" fillId="3" borderId="1" xfId="0" applyNumberFormat="1" applyFont="1" applyFill="1" applyBorder="1" applyAlignment="1">
      <alignment horizontal="center"/>
    </xf>
    <xf numFmtId="9" fontId="9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Sheet2!$J$9</c:f>
              <c:strCache>
                <c:ptCount val="1"/>
                <c:pt idx="0">
                  <c:v>l_x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Sheet2!$E$10:$E$16</c:f>
              <c:strCache>
                <c:ptCount val="7"/>
                <c:pt idx="0">
                  <c:v>0-10</c:v>
                </c:pt>
                <c:pt idx="1">
                  <c:v> 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60+</c:v>
                </c:pt>
              </c:strCache>
            </c:strRef>
          </c:cat>
          <c:val>
            <c:numRef>
              <c:f>Sheet2!$J$10:$J$16</c:f>
              <c:numCache>
                <c:formatCode>0</c:formatCode>
                <c:ptCount val="7"/>
                <c:pt idx="0">
                  <c:v>1000</c:v>
                </c:pt>
                <c:pt idx="1">
                  <c:v>716.5</c:v>
                </c:pt>
                <c:pt idx="2">
                  <c:v>291.10000000000002</c:v>
                </c:pt>
                <c:pt idx="3">
                  <c:v>137.1</c:v>
                </c:pt>
                <c:pt idx="4">
                  <c:v>63.2</c:v>
                </c:pt>
                <c:pt idx="5">
                  <c:v>6.2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C-3A44-8692-7F8D39636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88863"/>
        <c:axId val="620454815"/>
      </c:lineChart>
      <c:catAx>
        <c:axId val="62058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20454815"/>
        <c:crosses val="autoZero"/>
        <c:auto val="1"/>
        <c:lblAlgn val="ctr"/>
        <c:lblOffset val="100"/>
        <c:noMultiLvlLbl val="0"/>
      </c:catAx>
      <c:valAx>
        <c:axId val="6204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2058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Sheet2!$J$19</c:f>
              <c:strCache>
                <c:ptCount val="1"/>
                <c:pt idx="0">
                  <c:v>l_x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Sheet2!$E$20:$E$26</c:f>
              <c:strCache>
                <c:ptCount val="7"/>
                <c:pt idx="0">
                  <c:v>0-10</c:v>
                </c:pt>
                <c:pt idx="1">
                  <c:v> 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60+</c:v>
                </c:pt>
              </c:strCache>
            </c:strRef>
          </c:cat>
          <c:val>
            <c:numRef>
              <c:f>Sheet2!$J$20:$J$26</c:f>
              <c:numCache>
                <c:formatCode>0</c:formatCode>
                <c:ptCount val="7"/>
                <c:pt idx="0">
                  <c:v>1000</c:v>
                </c:pt>
                <c:pt idx="1">
                  <c:v>704.63755241901742</c:v>
                </c:pt>
                <c:pt idx="2">
                  <c:v>488.79849705965921</c:v>
                </c:pt>
                <c:pt idx="3">
                  <c:v>303.07479553675506</c:v>
                </c:pt>
                <c:pt idx="4">
                  <c:v>134.58632363193661</c:v>
                </c:pt>
                <c:pt idx="5">
                  <c:v>53.068999262010259</c:v>
                </c:pt>
                <c:pt idx="6">
                  <c:v>10.440918103962547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5-1D4B-A82B-1E52B0CF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117599"/>
        <c:axId val="366119311"/>
      </c:lineChart>
      <c:catAx>
        <c:axId val="3661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366119311"/>
        <c:crosses val="autoZero"/>
        <c:auto val="1"/>
        <c:lblAlgn val="ctr"/>
        <c:lblOffset val="100"/>
        <c:noMultiLvlLbl val="0"/>
      </c:catAx>
      <c:valAx>
        <c:axId val="3661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3661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A07E0C-A488-AB48-ABDF-57B3F120419A}">
  <sheetPr/>
  <sheetViews>
    <sheetView zoomScale="16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E6F993-E874-BC40-859D-8BCC83AE87F1}">
  <sheetPr/>
  <sheetViews>
    <sheetView zoomScale="1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709614</xdr:colOff>
      <xdr:row>1</xdr:row>
      <xdr:rowOff>52387</xdr:rowOff>
    </xdr:from>
    <xdr:to>
      <xdr:col>23</xdr:col>
      <xdr:colOff>628649</xdr:colOff>
      <xdr:row>12</xdr:row>
      <xdr:rowOff>17169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A05686B-96E0-40E2-925C-B5A52A145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0564" y="261937"/>
          <a:ext cx="3424235" cy="2241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69BEF-CF8D-5FC2-104C-76A3EE2FED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BEEC7-9EBD-F9C8-A560-199FB9A355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7B5D-8357-4E00-9CE6-60ACE5FCC6AE}">
  <dimension ref="B1:U42"/>
  <sheetViews>
    <sheetView topLeftCell="A24" zoomScale="200" zoomScaleNormal="80" workbookViewId="0">
      <selection activeCell="D40" sqref="D40"/>
    </sheetView>
  </sheetViews>
  <sheetFormatPr baseColWidth="10" defaultColWidth="9.1640625" defaultRowHeight="16" x14ac:dyDescent="0.2"/>
  <cols>
    <col min="1" max="17" width="9.1640625" style="1"/>
    <col min="18" max="18" width="10.5" style="1" bestFit="1" customWidth="1"/>
    <col min="19" max="19" width="11.6640625" style="1" customWidth="1"/>
    <col min="20" max="20" width="11.83203125" style="1" customWidth="1"/>
    <col min="21" max="16384" width="9.1640625" style="1"/>
  </cols>
  <sheetData>
    <row r="1" spans="2:21" ht="17" thickBot="1" x14ac:dyDescent="0.25"/>
    <row r="2" spans="2:21" ht="18.75" customHeight="1" x14ac:dyDescent="0.2">
      <c r="C2" s="27" t="s">
        <v>33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2"/>
      <c r="Q2" s="2"/>
      <c r="R2" s="2"/>
      <c r="S2" s="2"/>
      <c r="T2" s="2"/>
      <c r="U2" s="2"/>
    </row>
    <row r="3" spans="2:21" x14ac:dyDescent="0.2"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  <c r="P3" s="2"/>
      <c r="Q3" s="2"/>
      <c r="R3" s="2"/>
      <c r="S3" s="2"/>
      <c r="T3" s="2"/>
      <c r="U3" s="2"/>
    </row>
    <row r="4" spans="2:21" x14ac:dyDescent="0.2">
      <c r="C4" s="30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2"/>
      <c r="P4" s="2"/>
      <c r="Q4" s="2"/>
      <c r="R4" s="2"/>
      <c r="S4" s="2"/>
      <c r="T4" s="2"/>
      <c r="U4" s="2"/>
    </row>
    <row r="5" spans="2:21" x14ac:dyDescent="0.2">
      <c r="C5" s="3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  <c r="P5" s="2"/>
      <c r="Q5" s="2"/>
      <c r="R5" s="2"/>
      <c r="S5" s="2"/>
      <c r="T5" s="2"/>
      <c r="U5" s="2"/>
    </row>
    <row r="6" spans="2:21" ht="17" thickBot="1" x14ac:dyDescent="0.25">
      <c r="C6" s="33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5"/>
      <c r="P6" s="2"/>
      <c r="Q6" s="2"/>
      <c r="R6" s="2"/>
      <c r="S6" s="2"/>
      <c r="T6" s="2"/>
      <c r="U6" s="2"/>
    </row>
    <row r="7" spans="2:21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2"/>
      <c r="Q7" s="2"/>
      <c r="R7" s="2"/>
      <c r="S7" s="2"/>
      <c r="T7" s="2"/>
      <c r="U7" s="2"/>
    </row>
    <row r="8" spans="2:21" ht="17" thickBot="1" x14ac:dyDescent="0.25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  <c r="Q8" s="2"/>
      <c r="R8" s="2"/>
      <c r="S8" s="2"/>
      <c r="T8" s="2"/>
      <c r="U8" s="2"/>
    </row>
    <row r="9" spans="2:21" ht="17" thickBot="1" x14ac:dyDescent="0.25">
      <c r="D9" s="4" t="s">
        <v>8</v>
      </c>
      <c r="P9" s="2"/>
      <c r="Q9" s="2"/>
      <c r="R9" s="2"/>
      <c r="S9" s="2"/>
      <c r="T9" s="2"/>
      <c r="U9" s="2"/>
    </row>
    <row r="10" spans="2:21" ht="17" thickBot="1" x14ac:dyDescent="0.25">
      <c r="B10" s="5"/>
      <c r="C10" s="6" t="s">
        <v>6</v>
      </c>
      <c r="D10" s="7" t="s">
        <v>7</v>
      </c>
      <c r="E10" s="8"/>
      <c r="F10" s="9" t="s">
        <v>10</v>
      </c>
      <c r="G10" s="8"/>
      <c r="H10" s="8"/>
      <c r="I10" s="8"/>
      <c r="J10" s="8"/>
      <c r="K10" s="8"/>
      <c r="L10" s="8"/>
      <c r="M10" s="10"/>
      <c r="N10" s="10"/>
      <c r="P10" s="2"/>
      <c r="Q10" s="2"/>
      <c r="R10" s="2"/>
      <c r="S10" s="2"/>
      <c r="T10" s="2"/>
      <c r="U10" s="2"/>
    </row>
    <row r="11" spans="2:21" x14ac:dyDescent="0.2">
      <c r="B11" s="11"/>
      <c r="C11" s="12" t="s">
        <v>0</v>
      </c>
      <c r="D11" s="13">
        <v>1</v>
      </c>
      <c r="E11" s="14">
        <f>1000*D11</f>
        <v>1000</v>
      </c>
      <c r="F11" s="15" t="s">
        <v>34</v>
      </c>
      <c r="G11" s="11"/>
      <c r="H11" s="14"/>
      <c r="I11" s="16"/>
      <c r="J11" s="11"/>
      <c r="K11" s="14"/>
      <c r="L11" s="14"/>
      <c r="M11" s="17"/>
      <c r="N11" s="16"/>
      <c r="P11" s="2"/>
      <c r="Q11" s="2"/>
      <c r="R11" s="2"/>
      <c r="S11" s="2"/>
      <c r="T11" s="2"/>
      <c r="U11" s="2"/>
    </row>
    <row r="12" spans="2:21" x14ac:dyDescent="0.2">
      <c r="B12" s="11"/>
      <c r="C12" s="18" t="s">
        <v>1</v>
      </c>
      <c r="D12" s="19">
        <v>0.71650000000000003</v>
      </c>
      <c r="E12" s="14">
        <f t="shared" ref="E12:E17" si="0">1000*D12</f>
        <v>716.5</v>
      </c>
      <c r="F12" s="36" t="s">
        <v>35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2"/>
      <c r="T12" s="2"/>
      <c r="U12" s="2"/>
    </row>
    <row r="13" spans="2:21" x14ac:dyDescent="0.2">
      <c r="B13" s="11"/>
      <c r="C13" s="20" t="s">
        <v>2</v>
      </c>
      <c r="D13" s="19">
        <v>0.29110000000000003</v>
      </c>
      <c r="E13" s="14">
        <f t="shared" si="0"/>
        <v>291.10000000000002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T13" s="2" t="s">
        <v>27</v>
      </c>
      <c r="U13" s="2"/>
    </row>
    <row r="14" spans="2:21" x14ac:dyDescent="0.2">
      <c r="B14" s="11"/>
      <c r="C14" s="20" t="s">
        <v>3</v>
      </c>
      <c r="D14" s="19">
        <v>0.1371</v>
      </c>
      <c r="E14" s="14">
        <f t="shared" si="0"/>
        <v>137.1</v>
      </c>
      <c r="F14" s="21" t="s">
        <v>8</v>
      </c>
      <c r="G14" s="14"/>
      <c r="H14" s="14"/>
      <c r="I14" s="22" t="s">
        <v>9</v>
      </c>
      <c r="J14" s="11"/>
      <c r="K14" s="14"/>
      <c r="L14" s="14"/>
      <c r="M14" s="17"/>
      <c r="N14" s="14"/>
      <c r="O14" s="11"/>
      <c r="P14" s="2"/>
      <c r="Q14" s="2"/>
      <c r="R14" s="2"/>
      <c r="S14" s="2"/>
      <c r="T14" s="2"/>
      <c r="U14" s="2"/>
    </row>
    <row r="15" spans="2:21" x14ac:dyDescent="0.2">
      <c r="B15" s="11"/>
      <c r="C15" s="20" t="s">
        <v>4</v>
      </c>
      <c r="D15" s="19">
        <v>6.3200000000000006E-2</v>
      </c>
      <c r="E15" s="14">
        <f t="shared" si="0"/>
        <v>63.2</v>
      </c>
      <c r="F15" s="15" t="s">
        <v>30</v>
      </c>
      <c r="G15" s="14"/>
      <c r="H15" s="14"/>
      <c r="I15" s="15" t="s">
        <v>30</v>
      </c>
      <c r="J15" s="11"/>
      <c r="K15" s="14"/>
      <c r="L15" s="14"/>
      <c r="M15" s="17"/>
      <c r="N15" s="14"/>
      <c r="O15" s="11"/>
      <c r="P15" s="2"/>
      <c r="Q15" s="2"/>
      <c r="R15" s="2"/>
      <c r="S15" s="2"/>
      <c r="T15" s="2"/>
      <c r="U15" s="2"/>
    </row>
    <row r="16" spans="2:21" x14ac:dyDescent="0.2">
      <c r="B16" s="11"/>
      <c r="C16" s="20" t="s">
        <v>5</v>
      </c>
      <c r="D16" s="19">
        <v>6.1999999999999998E-3</v>
      </c>
      <c r="E16" s="14">
        <f t="shared" si="0"/>
        <v>6.2</v>
      </c>
      <c r="F16" s="15" t="s">
        <v>11</v>
      </c>
      <c r="G16" s="14"/>
      <c r="H16" s="14"/>
      <c r="I16" s="15" t="s">
        <v>11</v>
      </c>
      <c r="J16" s="11"/>
      <c r="K16" s="14"/>
      <c r="L16" s="14"/>
      <c r="M16" s="17"/>
      <c r="N16" s="14"/>
      <c r="O16" s="11"/>
      <c r="P16" s="2"/>
      <c r="Q16" s="2"/>
      <c r="R16" s="2"/>
      <c r="S16" s="2"/>
      <c r="T16" s="2"/>
      <c r="U16" s="2"/>
    </row>
    <row r="17" spans="2:21" ht="17" thickBot="1" x14ac:dyDescent="0.25">
      <c r="B17" s="11"/>
      <c r="C17" s="23" t="s">
        <v>31</v>
      </c>
      <c r="D17" s="24">
        <v>2E-3</v>
      </c>
      <c r="E17" s="14">
        <f t="shared" si="0"/>
        <v>2</v>
      </c>
      <c r="F17" s="15" t="s">
        <v>12</v>
      </c>
      <c r="G17" s="14"/>
      <c r="H17" s="14"/>
      <c r="I17" s="15" t="s">
        <v>12</v>
      </c>
      <c r="J17" s="11"/>
      <c r="K17" s="14"/>
      <c r="L17" s="14"/>
      <c r="M17" s="17"/>
      <c r="N17" s="14"/>
      <c r="O17" s="11"/>
      <c r="P17" s="3"/>
      <c r="Q17" s="3"/>
      <c r="R17" s="3"/>
      <c r="S17" s="3"/>
      <c r="T17" s="3"/>
      <c r="U17" s="3"/>
    </row>
    <row r="18" spans="2:21" x14ac:dyDescent="0.2">
      <c r="F18" s="15" t="s">
        <v>13</v>
      </c>
      <c r="G18" s="14"/>
      <c r="H18" s="14"/>
      <c r="I18" s="15" t="s">
        <v>16</v>
      </c>
      <c r="J18" s="11"/>
      <c r="M18" s="16"/>
      <c r="N18" s="14"/>
      <c r="O18" s="11"/>
    </row>
    <row r="19" spans="2:21" x14ac:dyDescent="0.2">
      <c r="F19" s="15" t="s">
        <v>14</v>
      </c>
      <c r="I19" s="1" t="s">
        <v>14</v>
      </c>
      <c r="M19" s="16"/>
      <c r="N19" s="14"/>
      <c r="O19" s="11"/>
    </row>
    <row r="20" spans="2:21" x14ac:dyDescent="0.2">
      <c r="D20" s="8"/>
      <c r="F20" s="1" t="s">
        <v>15</v>
      </c>
      <c r="I20" s="1" t="s">
        <v>15</v>
      </c>
      <c r="K20" s="14"/>
      <c r="L20" s="14"/>
      <c r="M20" s="17"/>
      <c r="N20" s="16"/>
      <c r="O20" s="11"/>
    </row>
    <row r="21" spans="2:21" ht="17" thickBot="1" x14ac:dyDescent="0.25">
      <c r="D21" s="26" t="s">
        <v>9</v>
      </c>
      <c r="F21" s="15" t="s">
        <v>32</v>
      </c>
      <c r="G21" s="11"/>
      <c r="H21" s="14"/>
      <c r="I21" s="16"/>
      <c r="J21" s="11"/>
      <c r="M21" s="16"/>
      <c r="N21" s="14"/>
      <c r="O21" s="11"/>
    </row>
    <row r="22" spans="2:21" ht="17" thickBot="1" x14ac:dyDescent="0.25">
      <c r="B22" s="5"/>
      <c r="C22" s="6" t="s">
        <v>6</v>
      </c>
      <c r="D22" s="25" t="s">
        <v>7</v>
      </c>
      <c r="E22" s="8"/>
      <c r="G22" s="5"/>
      <c r="H22" s="5"/>
      <c r="J22" s="5"/>
      <c r="K22" s="5"/>
      <c r="L22" s="5"/>
      <c r="M22" s="16"/>
      <c r="N22" s="16"/>
    </row>
    <row r="23" spans="2:21" x14ac:dyDescent="0.2">
      <c r="B23" s="11"/>
      <c r="C23" s="12" t="s">
        <v>0</v>
      </c>
      <c r="D23" s="13">
        <v>1</v>
      </c>
      <c r="E23" s="14"/>
    </row>
    <row r="24" spans="2:21" x14ac:dyDescent="0.2">
      <c r="B24" s="11"/>
      <c r="C24" s="18" t="s">
        <v>1</v>
      </c>
      <c r="D24" s="19">
        <v>0.70463755241901738</v>
      </c>
      <c r="E24" s="14"/>
      <c r="F24" s="16"/>
      <c r="G24" s="14"/>
      <c r="H24" s="14"/>
      <c r="I24" s="16"/>
      <c r="J24" s="11"/>
      <c r="K24" s="14"/>
      <c r="L24" s="14"/>
      <c r="M24" s="17"/>
      <c r="N24" s="16"/>
    </row>
    <row r="25" spans="2:21" x14ac:dyDescent="0.2">
      <c r="B25" s="11"/>
      <c r="C25" s="20" t="s">
        <v>2</v>
      </c>
      <c r="D25" s="19">
        <v>0.48879849705965922</v>
      </c>
      <c r="E25" s="14"/>
      <c r="F25" s="16"/>
      <c r="G25" s="14"/>
      <c r="H25" s="14"/>
      <c r="I25" s="16"/>
      <c r="J25" s="11"/>
      <c r="K25" s="14"/>
      <c r="L25" s="14"/>
      <c r="M25" s="17"/>
      <c r="N25" s="16"/>
    </row>
    <row r="26" spans="2:21" x14ac:dyDescent="0.2">
      <c r="B26" s="11"/>
      <c r="C26" s="20" t="s">
        <v>3</v>
      </c>
      <c r="D26" s="19">
        <v>0.30307479553675504</v>
      </c>
      <c r="E26" s="14"/>
      <c r="F26" s="16"/>
      <c r="G26" s="14"/>
      <c r="H26" s="14"/>
      <c r="I26" s="16"/>
      <c r="J26" s="11"/>
      <c r="K26" s="14"/>
      <c r="L26" s="14"/>
      <c r="M26" s="17"/>
      <c r="N26" s="16"/>
    </row>
    <row r="27" spans="2:21" x14ac:dyDescent="0.2">
      <c r="B27" s="11"/>
      <c r="C27" s="20" t="s">
        <v>4</v>
      </c>
      <c r="D27" s="19">
        <v>0.13458632363193659</v>
      </c>
      <c r="E27" s="14"/>
      <c r="F27" s="16"/>
      <c r="G27" s="14"/>
      <c r="H27" s="14"/>
      <c r="I27" s="16"/>
      <c r="J27" s="11"/>
      <c r="K27" s="14"/>
      <c r="L27" s="14"/>
      <c r="M27" s="17"/>
    </row>
    <row r="28" spans="2:21" x14ac:dyDescent="0.2">
      <c r="B28" s="11"/>
      <c r="C28" s="20" t="s">
        <v>5</v>
      </c>
      <c r="D28" s="19">
        <v>5.3068999262010259E-2</v>
      </c>
      <c r="E28" s="14"/>
      <c r="F28" s="16"/>
      <c r="G28" s="14"/>
      <c r="H28" s="14"/>
      <c r="I28" s="16"/>
      <c r="J28" s="11"/>
      <c r="K28" s="14"/>
      <c r="L28" s="14"/>
      <c r="M28" s="17"/>
      <c r="N28" s="16"/>
    </row>
    <row r="29" spans="2:21" ht="17" thickBot="1" x14ac:dyDescent="0.25">
      <c r="B29" s="11"/>
      <c r="C29" s="23" t="s">
        <v>31</v>
      </c>
      <c r="D29" s="24">
        <v>1.0440918103962547E-2</v>
      </c>
      <c r="E29" s="14"/>
      <c r="F29" s="16"/>
      <c r="G29" s="14"/>
      <c r="H29" s="14"/>
      <c r="I29" s="16"/>
      <c r="J29" s="11"/>
      <c r="K29" s="14"/>
      <c r="L29" s="14"/>
      <c r="M29" s="17"/>
      <c r="N29" s="16"/>
    </row>
    <row r="31" spans="2:21" x14ac:dyDescent="0.2">
      <c r="C31" s="1" t="s">
        <v>29</v>
      </c>
    </row>
    <row r="32" spans="2:21" x14ac:dyDescent="0.2">
      <c r="C32" s="1" t="s">
        <v>17</v>
      </c>
    </row>
    <row r="33" spans="3:3" x14ac:dyDescent="0.2">
      <c r="C33" s="1" t="s">
        <v>18</v>
      </c>
    </row>
    <row r="34" spans="3:3" x14ac:dyDescent="0.2">
      <c r="C34" s="1" t="s">
        <v>28</v>
      </c>
    </row>
    <row r="35" spans="3:3" x14ac:dyDescent="0.2">
      <c r="C35" s="1" t="s">
        <v>19</v>
      </c>
    </row>
    <row r="36" spans="3:3" x14ac:dyDescent="0.2">
      <c r="C36" s="1" t="s">
        <v>20</v>
      </c>
    </row>
    <row r="37" spans="3:3" x14ac:dyDescent="0.2">
      <c r="C37" s="1" t="s">
        <v>23</v>
      </c>
    </row>
    <row r="38" spans="3:3" x14ac:dyDescent="0.2">
      <c r="C38" s="1" t="s">
        <v>21</v>
      </c>
    </row>
    <row r="39" spans="3:3" x14ac:dyDescent="0.2">
      <c r="C39" s="1" t="s">
        <v>24</v>
      </c>
    </row>
    <row r="40" spans="3:3" x14ac:dyDescent="0.2">
      <c r="C40" s="1" t="s">
        <v>22</v>
      </c>
    </row>
    <row r="41" spans="3:3" x14ac:dyDescent="0.2">
      <c r="C41" s="1" t="s">
        <v>26</v>
      </c>
    </row>
    <row r="42" spans="3:3" x14ac:dyDescent="0.2">
      <c r="C42" s="1" t="s">
        <v>25</v>
      </c>
    </row>
  </sheetData>
  <mergeCells count="2">
    <mergeCell ref="C2:O6"/>
    <mergeCell ref="F12:R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F9B6-0DEB-274E-B63B-03EB4E5E729A}">
  <dimension ref="A8:W40"/>
  <sheetViews>
    <sheetView tabSelected="1" topLeftCell="A5" zoomScale="190" workbookViewId="0">
      <selection activeCell="H10" sqref="H10"/>
    </sheetView>
  </sheetViews>
  <sheetFormatPr baseColWidth="10" defaultRowHeight="15" x14ac:dyDescent="0.2"/>
  <cols>
    <col min="14" max="14" width="14.6640625" bestFit="1" customWidth="1"/>
    <col min="16" max="16" width="12.33203125" bestFit="1" customWidth="1"/>
  </cols>
  <sheetData>
    <row r="8" spans="1:23" ht="16" thickBot="1" x14ac:dyDescent="0.25">
      <c r="A8" s="50"/>
      <c r="B8" s="50"/>
      <c r="E8" t="s">
        <v>8</v>
      </c>
    </row>
    <row r="9" spans="1:23" ht="17" thickBot="1" x14ac:dyDescent="0.25">
      <c r="A9" s="50"/>
      <c r="B9" s="6" t="s">
        <v>6</v>
      </c>
      <c r="C9" s="7" t="s">
        <v>7</v>
      </c>
      <c r="E9" s="37" t="s">
        <v>36</v>
      </c>
      <c r="F9" s="38" t="s">
        <v>37</v>
      </c>
      <c r="G9" s="38" t="s">
        <v>38</v>
      </c>
      <c r="H9" s="38" t="s">
        <v>39</v>
      </c>
      <c r="I9" s="38" t="s">
        <v>40</v>
      </c>
      <c r="J9" s="38" t="s">
        <v>41</v>
      </c>
      <c r="K9" s="39" t="s">
        <v>42</v>
      </c>
      <c r="L9" s="38" t="s">
        <v>43</v>
      </c>
      <c r="M9" s="38" t="s">
        <v>44</v>
      </c>
      <c r="N9" s="40" t="s">
        <v>45</v>
      </c>
      <c r="P9" s="53" t="s">
        <v>47</v>
      </c>
      <c r="R9" s="57" t="s">
        <v>48</v>
      </c>
      <c r="S9" s="56" t="s">
        <v>49</v>
      </c>
      <c r="T9" s="58" t="s">
        <v>31</v>
      </c>
      <c r="V9" s="57" t="s">
        <v>50</v>
      </c>
      <c r="W9" s="58" t="s">
        <v>51</v>
      </c>
    </row>
    <row r="10" spans="1:23" ht="16" x14ac:dyDescent="0.2">
      <c r="A10" s="48"/>
      <c r="B10" s="12" t="s">
        <v>0</v>
      </c>
      <c r="C10" s="13">
        <v>1</v>
      </c>
      <c r="E10" s="12" t="s">
        <v>0</v>
      </c>
      <c r="F10" s="41">
        <v>10</v>
      </c>
      <c r="G10" s="41">
        <f>K10/L10</f>
        <v>3.6665804449042938E-2</v>
      </c>
      <c r="H10" s="41">
        <v>2</v>
      </c>
      <c r="I10" s="42">
        <f>K10/J10</f>
        <v>0.28349999999999997</v>
      </c>
      <c r="J10" s="43">
        <f>C10*1000</f>
        <v>1000</v>
      </c>
      <c r="K10" s="43">
        <f>J10-J11</f>
        <v>283.5</v>
      </c>
      <c r="L10" s="43">
        <f>(J11*F10)+(H10*K10)</f>
        <v>7732</v>
      </c>
      <c r="M10" s="44">
        <f>SUM(L10:$L$16)</f>
        <v>16027.3</v>
      </c>
      <c r="N10" s="46">
        <f>M10/J10</f>
        <v>16.0273</v>
      </c>
      <c r="P10">
        <f>LOG10(I10)</f>
        <v>-0.5474469367710747</v>
      </c>
      <c r="R10" s="54">
        <f>100*SUM(J14:J16)/SUM(J10:J13)</f>
        <v>3.3291369422296833</v>
      </c>
      <c r="S10">
        <f>100*SUM(J15:J16)/SUM(J10:J14)</f>
        <v>0.37139363195796909</v>
      </c>
      <c r="T10">
        <f>100*J16/SUM(J10:J15)</f>
        <v>9.0330156722821936E-2</v>
      </c>
      <c r="V10">
        <f>SUMPRODUCT(J10:J16,G10:G16)/SUM(J10:J16)</f>
        <v>6.5498547867504794E-2</v>
      </c>
      <c r="W10">
        <f>V10*1000</f>
        <v>65.498547867504797</v>
      </c>
    </row>
    <row r="11" spans="1:23" ht="16" x14ac:dyDescent="0.2">
      <c r="A11" s="51"/>
      <c r="B11" s="18" t="s">
        <v>1</v>
      </c>
      <c r="C11" s="19">
        <v>0.71650000000000003</v>
      </c>
      <c r="E11" s="18" t="s">
        <v>1</v>
      </c>
      <c r="F11" s="41">
        <v>10</v>
      </c>
      <c r="G11" s="41">
        <f t="shared" ref="G11:G20" si="0">K11/L11</f>
        <v>9.2225642804492025E-2</v>
      </c>
      <c r="H11" s="41">
        <v>4</v>
      </c>
      <c r="I11" s="42">
        <f t="shared" ref="I11:I22" si="1">K11/J11</f>
        <v>0.59371946964410327</v>
      </c>
      <c r="J11" s="43">
        <f t="shared" ref="J11:J16" si="2">C11*1000</f>
        <v>716.5</v>
      </c>
      <c r="K11" s="43">
        <f t="shared" ref="K11:K16" si="3">J11-J12</f>
        <v>425.4</v>
      </c>
      <c r="L11" s="43">
        <f t="shared" ref="L11:L16" si="4">(J12*F11)+(H11*K11)</f>
        <v>4612.6000000000004</v>
      </c>
      <c r="M11" s="44">
        <f>SUM(L11:$L$16)</f>
        <v>8295.2999999999993</v>
      </c>
      <c r="N11" s="46">
        <f t="shared" ref="N11:N16" si="5">M11/J11</f>
        <v>11.577529658060014</v>
      </c>
      <c r="P11">
        <f t="shared" ref="P11:P16" si="6">LOG10(I11)</f>
        <v>-0.2264187091666531</v>
      </c>
      <c r="R11" s="55"/>
    </row>
    <row r="12" spans="1:23" ht="16" x14ac:dyDescent="0.2">
      <c r="A12" s="52"/>
      <c r="B12" s="20" t="s">
        <v>2</v>
      </c>
      <c r="C12" s="19">
        <v>0.29110000000000003</v>
      </c>
      <c r="E12" s="20" t="s">
        <v>2</v>
      </c>
      <c r="F12" s="41">
        <v>10</v>
      </c>
      <c r="G12" s="41">
        <f t="shared" si="0"/>
        <v>6.7102396514161236E-2</v>
      </c>
      <c r="H12" s="46">
        <v>6</v>
      </c>
      <c r="I12" s="42">
        <f t="shared" si="1"/>
        <v>0.52902782548952254</v>
      </c>
      <c r="J12" s="43">
        <f t="shared" si="2"/>
        <v>291.10000000000002</v>
      </c>
      <c r="K12" s="43">
        <f t="shared" si="3"/>
        <v>154.00000000000003</v>
      </c>
      <c r="L12" s="43">
        <f t="shared" si="4"/>
        <v>2295</v>
      </c>
      <c r="M12" s="44">
        <f>SUM(L12:$L$16)</f>
        <v>3682.7000000000003</v>
      </c>
      <c r="N12" s="46">
        <f t="shared" si="5"/>
        <v>12.650979045001717</v>
      </c>
      <c r="P12">
        <f t="shared" si="6"/>
        <v>-0.27652148460234766</v>
      </c>
      <c r="R12" s="55"/>
    </row>
    <row r="13" spans="1:23" ht="16" x14ac:dyDescent="0.2">
      <c r="A13" s="51"/>
      <c r="B13" s="20" t="s">
        <v>3</v>
      </c>
      <c r="C13" s="19">
        <v>0.1371</v>
      </c>
      <c r="E13" s="20" t="s">
        <v>3</v>
      </c>
      <c r="F13" s="41">
        <v>10</v>
      </c>
      <c r="G13" s="41">
        <f t="shared" si="0"/>
        <v>7.3789316025961046E-2</v>
      </c>
      <c r="H13" s="46">
        <v>5</v>
      </c>
      <c r="I13" s="42">
        <f t="shared" si="1"/>
        <v>0.53902261123267681</v>
      </c>
      <c r="J13" s="43">
        <f t="shared" si="2"/>
        <v>137.1</v>
      </c>
      <c r="K13" s="43">
        <f t="shared" si="3"/>
        <v>73.899999999999991</v>
      </c>
      <c r="L13" s="43">
        <f t="shared" si="4"/>
        <v>1001.5</v>
      </c>
      <c r="M13" s="44">
        <f>SUM(L13:$L$16)</f>
        <v>1387.7</v>
      </c>
      <c r="N13" s="46">
        <f t="shared" si="5"/>
        <v>10.121808898614152</v>
      </c>
      <c r="P13">
        <f t="shared" si="6"/>
        <v>-0.26839301639468699</v>
      </c>
      <c r="R13" s="54"/>
    </row>
    <row r="14" spans="1:23" ht="16" x14ac:dyDescent="0.2">
      <c r="A14" s="51"/>
      <c r="B14" s="20" t="s">
        <v>4</v>
      </c>
      <c r="C14" s="19">
        <v>6.3200000000000006E-2</v>
      </c>
      <c r="E14" s="20" t="s">
        <v>4</v>
      </c>
      <c r="F14" s="41">
        <v>10</v>
      </c>
      <c r="G14" s="41">
        <f t="shared" si="0"/>
        <v>0.16426512968299711</v>
      </c>
      <c r="H14" s="46">
        <v>5</v>
      </c>
      <c r="I14" s="42">
        <f t="shared" si="1"/>
        <v>0.90189873417721511</v>
      </c>
      <c r="J14" s="43">
        <f t="shared" si="2"/>
        <v>63.2</v>
      </c>
      <c r="K14" s="43">
        <f t="shared" si="3"/>
        <v>57</v>
      </c>
      <c r="L14" s="43">
        <f t="shared" si="4"/>
        <v>347</v>
      </c>
      <c r="M14" s="44">
        <f>SUM(L14:$L$16)</f>
        <v>386.2</v>
      </c>
      <c r="N14" s="46">
        <f t="shared" si="5"/>
        <v>6.1107594936708853</v>
      </c>
      <c r="P14">
        <f t="shared" si="6"/>
        <v>-4.484222260989365E-2</v>
      </c>
      <c r="R14" s="54"/>
    </row>
    <row r="15" spans="1:23" ht="16" x14ac:dyDescent="0.2">
      <c r="A15" s="51"/>
      <c r="B15" s="20" t="s">
        <v>5</v>
      </c>
      <c r="C15" s="19">
        <v>6.1999999999999998E-3</v>
      </c>
      <c r="E15" s="20" t="s">
        <v>5</v>
      </c>
      <c r="F15" s="41">
        <v>10</v>
      </c>
      <c r="G15" s="41">
        <f t="shared" si="0"/>
        <v>0.1141304347826087</v>
      </c>
      <c r="H15" s="46">
        <v>4</v>
      </c>
      <c r="I15" s="42">
        <f t="shared" si="1"/>
        <v>0.67741935483870974</v>
      </c>
      <c r="J15" s="43">
        <f t="shared" si="2"/>
        <v>6.2</v>
      </c>
      <c r="K15" s="43">
        <f t="shared" si="3"/>
        <v>4.2</v>
      </c>
      <c r="L15" s="43">
        <f t="shared" si="4"/>
        <v>36.799999999999997</v>
      </c>
      <c r="M15" s="44">
        <f>SUM(L15:$L$16)</f>
        <v>39.199999999999996</v>
      </c>
      <c r="N15" s="46">
        <f t="shared" si="5"/>
        <v>6.3225806451612891</v>
      </c>
      <c r="P15">
        <f t="shared" si="6"/>
        <v>-0.16914239910035336</v>
      </c>
      <c r="R15" s="54"/>
    </row>
    <row r="16" spans="1:23" ht="17" thickBot="1" x14ac:dyDescent="0.25">
      <c r="A16" s="51"/>
      <c r="B16" s="23" t="s">
        <v>31</v>
      </c>
      <c r="C16" s="24">
        <v>2E-3</v>
      </c>
      <c r="E16" s="23" t="s">
        <v>31</v>
      </c>
      <c r="F16" s="41" t="s">
        <v>46</v>
      </c>
      <c r="G16" s="41">
        <f>1/H16</f>
        <v>0.83333333333333337</v>
      </c>
      <c r="H16" s="46">
        <v>1.2</v>
      </c>
      <c r="I16" s="42">
        <f t="shared" si="1"/>
        <v>1</v>
      </c>
      <c r="J16" s="43">
        <f t="shared" si="2"/>
        <v>2</v>
      </c>
      <c r="K16" s="43">
        <f t="shared" si="3"/>
        <v>2</v>
      </c>
      <c r="L16" s="43">
        <f>J16/G16</f>
        <v>2.4</v>
      </c>
      <c r="M16" s="44">
        <f>SUM(L16:$L$16)</f>
        <v>2.4</v>
      </c>
      <c r="N16" s="46">
        <f t="shared" si="5"/>
        <v>1.2</v>
      </c>
      <c r="P16">
        <f t="shared" si="6"/>
        <v>0</v>
      </c>
    </row>
    <row r="17" spans="1:23" ht="16" x14ac:dyDescent="0.2">
      <c r="A17" s="51"/>
      <c r="B17" s="49"/>
      <c r="C17" s="49"/>
      <c r="E17" s="47"/>
      <c r="F17" s="41"/>
      <c r="G17" s="41"/>
      <c r="H17" s="46"/>
      <c r="I17" s="42"/>
      <c r="J17" s="43"/>
      <c r="K17" s="43"/>
      <c r="M17" s="44"/>
      <c r="N17" s="45"/>
    </row>
    <row r="18" spans="1:23" ht="16" thickBot="1" x14ac:dyDescent="0.25">
      <c r="A18" s="50"/>
      <c r="B18" s="50"/>
      <c r="E18" s="47" t="s">
        <v>9</v>
      </c>
      <c r="F18" s="41"/>
      <c r="G18" s="41"/>
      <c r="H18" s="46"/>
      <c r="I18" s="42"/>
      <c r="J18" s="43"/>
      <c r="K18" s="43"/>
      <c r="L18" s="43"/>
      <c r="M18" s="44"/>
      <c r="N18" s="45"/>
    </row>
    <row r="19" spans="1:23" ht="17" thickBot="1" x14ac:dyDescent="0.25">
      <c r="A19" s="50"/>
      <c r="B19" s="6" t="s">
        <v>6</v>
      </c>
      <c r="C19" s="7" t="s">
        <v>7</v>
      </c>
      <c r="E19" s="37" t="s">
        <v>36</v>
      </c>
      <c r="F19" s="38" t="s">
        <v>37</v>
      </c>
      <c r="G19" s="38" t="s">
        <v>38</v>
      </c>
      <c r="H19" s="38" t="s">
        <v>39</v>
      </c>
      <c r="I19" s="38" t="s">
        <v>40</v>
      </c>
      <c r="J19" s="38" t="s">
        <v>41</v>
      </c>
      <c r="K19" s="39" t="s">
        <v>42</v>
      </c>
      <c r="L19" s="38" t="s">
        <v>43</v>
      </c>
      <c r="M19" s="38" t="s">
        <v>44</v>
      </c>
      <c r="N19" s="40" t="s">
        <v>45</v>
      </c>
      <c r="P19" s="53" t="s">
        <v>47</v>
      </c>
      <c r="R19" s="57" t="s">
        <v>48</v>
      </c>
      <c r="S19" s="56" t="s">
        <v>49</v>
      </c>
      <c r="T19" s="58" t="s">
        <v>31</v>
      </c>
      <c r="V19" s="57" t="s">
        <v>50</v>
      </c>
      <c r="W19" s="58" t="s">
        <v>51</v>
      </c>
    </row>
    <row r="20" spans="1:23" ht="16" x14ac:dyDescent="0.2">
      <c r="A20" s="50"/>
      <c r="B20" s="12" t="s">
        <v>0</v>
      </c>
      <c r="C20" s="13">
        <v>1</v>
      </c>
      <c r="E20" s="12" t="s">
        <v>0</v>
      </c>
      <c r="F20" s="41">
        <v>10</v>
      </c>
      <c r="G20" s="41">
        <f>K20/L20</f>
        <v>3.8674684286269786E-2</v>
      </c>
      <c r="H20" s="41">
        <v>2</v>
      </c>
      <c r="I20" s="42">
        <f>K20/J20</f>
        <v>0.29536244758098257</v>
      </c>
      <c r="J20" s="43">
        <f>C20*1000</f>
        <v>1000</v>
      </c>
      <c r="K20" s="43">
        <f>J20-J21</f>
        <v>295.36244758098258</v>
      </c>
      <c r="L20" s="43">
        <f>(J21*F20)+(H20*K20)</f>
        <v>7637.1004193521394</v>
      </c>
      <c r="M20" s="44">
        <f>SUM(L20:$L$26)</f>
        <v>21140.067177144836</v>
      </c>
      <c r="N20" s="46">
        <f>M20/J20</f>
        <v>21.140067177144836</v>
      </c>
      <c r="P20">
        <f>LOG10(I20)</f>
        <v>-0.52964472176973432</v>
      </c>
      <c r="R20" s="54">
        <f>100*SUM(J24:J26)/SUM(J20:J23)</f>
        <v>7.9349241119232916</v>
      </c>
      <c r="S20">
        <f>100*SUM(J25:J26)/SUM(J20:J24)</f>
        <v>2.4138187719848778</v>
      </c>
      <c r="T20">
        <f>100*J26/SUM(J20:J25)</f>
        <v>0.38898180853291525</v>
      </c>
      <c r="V20">
        <f>SUMPRODUCT(J20:J26,G20:G26)/SUM(J20:J26)</f>
        <v>4.8835021462368795E-2</v>
      </c>
      <c r="W20">
        <f>V20*1000</f>
        <v>48.835021462368793</v>
      </c>
    </row>
    <row r="21" spans="1:23" ht="16" x14ac:dyDescent="0.2">
      <c r="A21" s="50"/>
      <c r="B21" s="18" t="s">
        <v>1</v>
      </c>
      <c r="C21" s="19">
        <v>0.70463755241901738</v>
      </c>
      <c r="E21" s="18" t="s">
        <v>1</v>
      </c>
      <c r="F21" s="41">
        <v>10</v>
      </c>
      <c r="G21" s="41">
        <f t="shared" ref="G21:G26" si="7">K21/L21</f>
        <v>3.7528473472989071E-2</v>
      </c>
      <c r="H21" s="41">
        <v>4</v>
      </c>
      <c r="I21" s="42">
        <f t="shared" ref="I21:I26" si="8">K21/J21</f>
        <v>0.30631216661443</v>
      </c>
      <c r="J21" s="43">
        <f t="shared" ref="J21:J26" si="9">C21*1000</f>
        <v>704.63755241901742</v>
      </c>
      <c r="K21" s="43">
        <f t="shared" ref="K21:K26" si="10">J21-J22</f>
        <v>215.83905535935821</v>
      </c>
      <c r="L21" s="43">
        <f t="shared" ref="L21:L26" si="11">(J22*F21)+(H21*K21)</f>
        <v>5751.3411920340241</v>
      </c>
      <c r="M21" s="44">
        <f>SUM(L21:$L$26)</f>
        <v>13502.966757792698</v>
      </c>
      <c r="N21" s="46">
        <f t="shared" ref="N21:N26" si="12">M21/J21</f>
        <v>19.162996226126577</v>
      </c>
      <c r="P21">
        <f t="shared" ref="P21:P26" si="13">LOG10(I21)</f>
        <v>-0.51383575282264116</v>
      </c>
    </row>
    <row r="22" spans="1:23" ht="16" x14ac:dyDescent="0.2">
      <c r="A22" s="50"/>
      <c r="B22" s="20" t="s">
        <v>2</v>
      </c>
      <c r="C22" s="19">
        <v>0.48879849705965922</v>
      </c>
      <c r="E22" s="20" t="s">
        <v>2</v>
      </c>
      <c r="F22" s="41">
        <v>10</v>
      </c>
      <c r="G22" s="41">
        <f t="shared" si="7"/>
        <v>4.4805708477292927E-2</v>
      </c>
      <c r="H22" s="46">
        <v>6</v>
      </c>
      <c r="I22" s="42">
        <f t="shared" si="8"/>
        <v>0.37995964112024683</v>
      </c>
      <c r="J22" s="43">
        <f t="shared" si="9"/>
        <v>488.79849705965921</v>
      </c>
      <c r="K22" s="43">
        <f t="shared" si="10"/>
        <v>185.72370152290415</v>
      </c>
      <c r="L22" s="43">
        <f t="shared" si="11"/>
        <v>4145.0901645049762</v>
      </c>
      <c r="M22" s="44">
        <f>SUM(L22:$L$26)</f>
        <v>7751.6255657586726</v>
      </c>
      <c r="N22" s="46">
        <f t="shared" si="12"/>
        <v>15.858529869441405</v>
      </c>
      <c r="P22">
        <f t="shared" si="13"/>
        <v>-0.42026253119798601</v>
      </c>
    </row>
    <row r="23" spans="1:23" ht="16" x14ac:dyDescent="0.2">
      <c r="A23" s="50"/>
      <c r="B23" s="20" t="s">
        <v>3</v>
      </c>
      <c r="C23" s="19">
        <v>0.30307479553675504</v>
      </c>
      <c r="E23" s="20" t="s">
        <v>3</v>
      </c>
      <c r="F23" s="41">
        <v>10</v>
      </c>
      <c r="G23" s="41">
        <f t="shared" si="7"/>
        <v>7.1490536322418433E-2</v>
      </c>
      <c r="H23" s="46">
        <v>6</v>
      </c>
      <c r="I23" s="42">
        <f t="shared" si="8"/>
        <v>0.55593033266398817</v>
      </c>
      <c r="J23" s="43">
        <f t="shared" si="9"/>
        <v>303.07479553675506</v>
      </c>
      <c r="K23" s="43">
        <f t="shared" si="10"/>
        <v>168.48847190481845</v>
      </c>
      <c r="L23" s="43">
        <f t="shared" si="11"/>
        <v>2356.7940677482766</v>
      </c>
      <c r="M23" s="44">
        <f>SUM(L23:$L$26)</f>
        <v>3606.5354012536959</v>
      </c>
      <c r="N23" s="46">
        <f t="shared" si="12"/>
        <v>11.899819629891715</v>
      </c>
      <c r="P23">
        <f t="shared" si="13"/>
        <v>-0.25497962934477514</v>
      </c>
    </row>
    <row r="24" spans="1:23" ht="16" x14ac:dyDescent="0.2">
      <c r="B24" s="20" t="s">
        <v>4</v>
      </c>
      <c r="C24" s="19">
        <v>0.13458632363193659</v>
      </c>
      <c r="E24" s="20" t="s">
        <v>4</v>
      </c>
      <c r="F24" s="41">
        <v>10</v>
      </c>
      <c r="G24" s="41">
        <f t="shared" si="7"/>
        <v>8.687984237568977E-2</v>
      </c>
      <c r="H24" s="46">
        <v>5</v>
      </c>
      <c r="I24" s="42">
        <f t="shared" si="8"/>
        <v>0.60568802364241647</v>
      </c>
      <c r="J24" s="43">
        <f t="shared" si="9"/>
        <v>134.58632363193661</v>
      </c>
      <c r="K24" s="43">
        <f t="shared" si="10"/>
        <v>81.517324369926342</v>
      </c>
      <c r="L24" s="43">
        <f t="shared" si="11"/>
        <v>938.27661446973423</v>
      </c>
      <c r="M24" s="44">
        <f>SUM(L24:$L$26)</f>
        <v>1249.7413335054196</v>
      </c>
      <c r="N24" s="46">
        <f t="shared" si="12"/>
        <v>9.2857973959016942</v>
      </c>
      <c r="P24">
        <f t="shared" si="13"/>
        <v>-0.21775101361989818</v>
      </c>
    </row>
    <row r="25" spans="1:23" ht="16" x14ac:dyDescent="0.2">
      <c r="B25" s="20" t="s">
        <v>5</v>
      </c>
      <c r="C25" s="19">
        <v>5.3068999262010259E-2</v>
      </c>
      <c r="E25" s="20" t="s">
        <v>5</v>
      </c>
      <c r="F25" s="41">
        <v>10</v>
      </c>
      <c r="G25" s="41">
        <f t="shared" si="7"/>
        <v>0.15505546229960776</v>
      </c>
      <c r="H25" s="46">
        <v>4</v>
      </c>
      <c r="I25" s="42">
        <f t="shared" si="8"/>
        <v>0.80325767869836706</v>
      </c>
      <c r="J25" s="43">
        <f t="shared" si="9"/>
        <v>53.068999262010259</v>
      </c>
      <c r="K25" s="43">
        <f t="shared" si="10"/>
        <v>42.628081158047713</v>
      </c>
      <c r="L25" s="43">
        <f t="shared" si="11"/>
        <v>274.92150567181631</v>
      </c>
      <c r="M25" s="44">
        <f>SUM(L25:$L$26)</f>
        <v>311.46471903568522</v>
      </c>
      <c r="N25" s="46">
        <f t="shared" si="12"/>
        <v>5.8690520523655136</v>
      </c>
      <c r="P25">
        <f t="shared" si="13"/>
        <v>-9.5145114141972534E-2</v>
      </c>
    </row>
    <row r="26" spans="1:23" ht="17" thickBot="1" x14ac:dyDescent="0.25">
      <c r="B26" s="23" t="s">
        <v>31</v>
      </c>
      <c r="C26" s="24">
        <v>1.0440918103962547E-2</v>
      </c>
      <c r="E26" s="23" t="s">
        <v>31</v>
      </c>
      <c r="F26" s="41" t="s">
        <v>46</v>
      </c>
      <c r="G26" s="41">
        <f>1/H26</f>
        <v>0.2857142857142857</v>
      </c>
      <c r="H26" s="46">
        <v>3.5</v>
      </c>
      <c r="I26" s="42">
        <f t="shared" si="8"/>
        <v>1</v>
      </c>
      <c r="J26" s="43">
        <f t="shared" si="9"/>
        <v>10.440918103962547</v>
      </c>
      <c r="K26" s="43">
        <f t="shared" si="10"/>
        <v>10.440918103962547</v>
      </c>
      <c r="L26" s="43">
        <f>(J26/G26)</f>
        <v>36.543213363868915</v>
      </c>
      <c r="M26" s="44">
        <f>SUM(L26:$L$26)</f>
        <v>36.543213363868915</v>
      </c>
      <c r="N26" s="46">
        <f>M26/J26</f>
        <v>3.5</v>
      </c>
      <c r="P26">
        <f t="shared" si="13"/>
        <v>0</v>
      </c>
    </row>
    <row r="32" spans="1:23" ht="16" x14ac:dyDescent="0.2">
      <c r="E32" s="21" t="s">
        <v>8</v>
      </c>
      <c r="F32" s="14"/>
      <c r="G32" s="14"/>
      <c r="H32" s="22" t="s">
        <v>9</v>
      </c>
      <c r="I32" s="11"/>
      <c r="J32" s="14"/>
    </row>
    <row r="33" spans="5:10" ht="16" x14ac:dyDescent="0.2">
      <c r="E33" s="15" t="s">
        <v>30</v>
      </c>
      <c r="F33" s="14"/>
      <c r="G33" s="14"/>
      <c r="H33" s="15" t="s">
        <v>30</v>
      </c>
      <c r="I33" s="11"/>
      <c r="J33" s="14"/>
    </row>
    <row r="34" spans="5:10" ht="16" x14ac:dyDescent="0.2">
      <c r="E34" s="15" t="s">
        <v>11</v>
      </c>
      <c r="F34" s="14"/>
      <c r="G34" s="14"/>
      <c r="H34" s="15" t="s">
        <v>11</v>
      </c>
      <c r="I34" s="11"/>
      <c r="J34" s="14"/>
    </row>
    <row r="35" spans="5:10" ht="16" x14ac:dyDescent="0.2">
      <c r="E35" s="15" t="s">
        <v>12</v>
      </c>
      <c r="F35" s="14"/>
      <c r="G35" s="14"/>
      <c r="H35" s="15" t="s">
        <v>12</v>
      </c>
      <c r="I35" s="11"/>
      <c r="J35" s="14"/>
    </row>
    <row r="36" spans="5:10" ht="16" x14ac:dyDescent="0.2">
      <c r="E36" s="15" t="s">
        <v>13</v>
      </c>
      <c r="F36" s="14"/>
      <c r="G36" s="14"/>
      <c r="H36" s="15" t="s">
        <v>16</v>
      </c>
      <c r="I36" s="11"/>
      <c r="J36" s="1"/>
    </row>
    <row r="37" spans="5:10" ht="16" x14ac:dyDescent="0.2">
      <c r="E37" s="15" t="s">
        <v>14</v>
      </c>
      <c r="F37" s="1"/>
      <c r="G37" s="1"/>
      <c r="H37" s="1" t="s">
        <v>14</v>
      </c>
      <c r="I37" s="1"/>
      <c r="J37" s="1"/>
    </row>
    <row r="38" spans="5:10" ht="16" x14ac:dyDescent="0.2">
      <c r="E38" s="1" t="s">
        <v>15</v>
      </c>
      <c r="F38" s="1"/>
      <c r="G38" s="1"/>
      <c r="H38" s="1" t="s">
        <v>15</v>
      </c>
      <c r="I38" s="1"/>
      <c r="J38" s="14"/>
    </row>
    <row r="39" spans="5:10" ht="16" x14ac:dyDescent="0.2">
      <c r="E39" s="15" t="s">
        <v>32</v>
      </c>
      <c r="F39" s="11"/>
      <c r="G39" s="14"/>
      <c r="H39" s="16"/>
      <c r="I39" s="11"/>
      <c r="J39" s="1"/>
    </row>
    <row r="40" spans="5:10" ht="16" x14ac:dyDescent="0.2">
      <c r="E40" s="1"/>
      <c r="F40" s="5"/>
      <c r="G40" s="5"/>
      <c r="H40" s="1"/>
      <c r="I40" s="5"/>
      <c r="J40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b3fd8d1-1672-42a9-929d-298c8a5b0be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F9E9C0F3484440B45F946FF25E7AC1" ma:contentTypeVersion="15" ma:contentTypeDescription="Create a new document." ma:contentTypeScope="" ma:versionID="75e413cf29342c8d7698eefc561fbfc3">
  <xsd:schema xmlns:xsd="http://www.w3.org/2001/XMLSchema" xmlns:xs="http://www.w3.org/2001/XMLSchema" xmlns:p="http://schemas.microsoft.com/office/2006/metadata/properties" xmlns:ns3="9b3fd8d1-1672-42a9-929d-298c8a5b0beb" xmlns:ns4="925c1d0d-7903-4c94-ba39-a1add57c5125" targetNamespace="http://schemas.microsoft.com/office/2006/metadata/properties" ma:root="true" ma:fieldsID="c5363fcf5f8e32b4c94520aea9fc4357" ns3:_="" ns4:_="">
    <xsd:import namespace="9b3fd8d1-1672-42a9-929d-298c8a5b0beb"/>
    <xsd:import namespace="925c1d0d-7903-4c94-ba39-a1add57c51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3fd8d1-1672-42a9-929d-298c8a5b0b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5c1d0d-7903-4c94-ba39-a1add57c51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B0F488-D7E4-47E2-B62C-2242D255857A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9b3fd8d1-1672-42a9-929d-298c8a5b0beb"/>
    <ds:schemaRef ds:uri="http://schemas.microsoft.com/office/infopath/2007/PartnerControls"/>
    <ds:schemaRef ds:uri="925c1d0d-7903-4c94-ba39-a1add57c5125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659B17F-459D-4AAD-A8C0-03AD899D6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3fd8d1-1672-42a9-929d-298c8a5b0beb"/>
    <ds:schemaRef ds:uri="925c1d0d-7903-4c94-ba39-a1add57c51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782CD0-0D44-423C-BB50-6BE41E8787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Curva de supervivencia + Reina</vt:lpstr>
      <vt:lpstr>Curva de supervivencia - Reina</vt:lpstr>
    </vt:vector>
  </TitlesOfParts>
  <Company>Universidad de las Américas Puebla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</dc:creator>
  <cp:lastModifiedBy>Owen Paredes Conde</cp:lastModifiedBy>
  <dcterms:created xsi:type="dcterms:W3CDTF">2023-03-08T19:34:47Z</dcterms:created>
  <dcterms:modified xsi:type="dcterms:W3CDTF">2025-03-20T23:02:45Z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0x01010025F9E9C0F3484440B45F946FF25E7AC1</vt:lpwstr>
  </property>
</Properties>
</file>