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inliveudlap-my.sharepoint.com/personal/heriberto_espinomo_udlap_mx/Documents/"/>
    </mc:Choice>
  </mc:AlternateContent>
  <xr:revisionPtr revIDLastSave="0" documentId="8_{2DC1D35C-48B0-4D9D-A93F-B9123DBCC11B}" xr6:coauthVersionLast="47" xr6:coauthVersionMax="47" xr10:uidLastSave="{00000000-0000-0000-0000-000000000000}"/>
  <bookViews>
    <workbookView xWindow="-110" yWindow="-110" windowWidth="25820" windowHeight="16220" firstSheet="2" activeTab="2" xr2:uid="{C6BACB2D-98B0-44F6-A583-6CFD10DBBC0E}"/>
  </bookViews>
  <sheets>
    <sheet name="EEUU Poblacion" sheetId="2" r:id="rId1"/>
    <sheet name="Estimacion de a y b" sheetId="1" r:id="rId2"/>
    <sheet name="Prediccion" sheetId="3" r:id="rId3"/>
    <sheet name="Error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2" i="4" l="1"/>
  <c r="R35" i="4"/>
  <c r="R36" i="4"/>
  <c r="R29" i="4"/>
  <c r="R28" i="4"/>
  <c r="R25" i="4"/>
  <c r="R22" i="4"/>
  <c r="R21" i="4"/>
  <c r="R17" i="4"/>
  <c r="R16" i="4"/>
  <c r="R15" i="4"/>
  <c r="R14" i="4"/>
  <c r="R39" i="4"/>
  <c r="R18" i="4"/>
  <c r="L9" i="4"/>
  <c r="M9" i="4"/>
  <c r="N9" i="4"/>
  <c r="O9" i="4"/>
  <c r="L10" i="4"/>
  <c r="M10" i="4"/>
  <c r="N10" i="4"/>
  <c r="O10" i="4"/>
  <c r="L11" i="4"/>
  <c r="M11" i="4"/>
  <c r="N11" i="4"/>
  <c r="O11" i="4"/>
  <c r="L12" i="4"/>
  <c r="M12" i="4"/>
  <c r="N12" i="4"/>
  <c r="O12" i="4"/>
  <c r="L13" i="4"/>
  <c r="M13" i="4"/>
  <c r="N13" i="4"/>
  <c r="O13" i="4"/>
  <c r="L14" i="4"/>
  <c r="M14" i="4"/>
  <c r="N14" i="4"/>
  <c r="O14" i="4"/>
  <c r="L15" i="4"/>
  <c r="M15" i="4"/>
  <c r="N15" i="4"/>
  <c r="O15" i="4"/>
  <c r="L16" i="4"/>
  <c r="M16" i="4"/>
  <c r="N16" i="4"/>
  <c r="O16" i="4"/>
  <c r="L17" i="4"/>
  <c r="M17" i="4"/>
  <c r="N17" i="4"/>
  <c r="O17" i="4"/>
  <c r="L18" i="4"/>
  <c r="M18" i="4"/>
  <c r="N18" i="4"/>
  <c r="O18" i="4"/>
  <c r="L19" i="4"/>
  <c r="M19" i="4"/>
  <c r="N19" i="4"/>
  <c r="O19" i="4"/>
  <c r="L20" i="4"/>
  <c r="M20" i="4"/>
  <c r="N20" i="4"/>
  <c r="O20" i="4"/>
  <c r="L21" i="4"/>
  <c r="M21" i="4"/>
  <c r="N21" i="4"/>
  <c r="O21" i="4"/>
  <c r="L22" i="4"/>
  <c r="M22" i="4"/>
  <c r="N22" i="4"/>
  <c r="O22" i="4"/>
  <c r="L23" i="4"/>
  <c r="M23" i="4"/>
  <c r="N23" i="4"/>
  <c r="O23" i="4"/>
  <c r="L24" i="4"/>
  <c r="M24" i="4"/>
  <c r="N24" i="4"/>
  <c r="O24" i="4"/>
  <c r="L25" i="4"/>
  <c r="M25" i="4"/>
  <c r="N25" i="4"/>
  <c r="O25" i="4"/>
  <c r="L26" i="4"/>
  <c r="M26" i="4"/>
  <c r="N26" i="4"/>
  <c r="O26" i="4"/>
  <c r="L27" i="4"/>
  <c r="M27" i="4"/>
  <c r="N27" i="4"/>
  <c r="O27" i="4"/>
  <c r="L28" i="4"/>
  <c r="M28" i="4"/>
  <c r="N28" i="4"/>
  <c r="O28" i="4"/>
  <c r="L29" i="4"/>
  <c r="M29" i="4"/>
  <c r="N29" i="4"/>
  <c r="O29" i="4"/>
  <c r="L30" i="4"/>
  <c r="M30" i="4"/>
  <c r="N30" i="4"/>
  <c r="O30" i="4"/>
  <c r="L31" i="4"/>
  <c r="M31" i="4"/>
  <c r="N31" i="4"/>
  <c r="O31" i="4"/>
  <c r="O8" i="4"/>
  <c r="N8" i="4"/>
  <c r="M8" i="4"/>
  <c r="L8" i="4"/>
  <c r="K8" i="4"/>
  <c r="R38" i="4"/>
  <c r="R31" i="4"/>
  <c r="R24" i="4"/>
  <c r="R37" i="4"/>
  <c r="R30" i="4"/>
  <c r="R23" i="4"/>
  <c r="R11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R10" i="4"/>
  <c r="D2" i="1"/>
  <c r="D31" i="4"/>
  <c r="I31" i="4" s="1"/>
  <c r="D30" i="4"/>
  <c r="I30" i="4" s="1"/>
  <c r="I29" i="4"/>
  <c r="H29" i="4"/>
  <c r="J29" i="4" s="1"/>
  <c r="D29" i="4"/>
  <c r="G29" i="4" s="1"/>
  <c r="D28" i="4"/>
  <c r="I28" i="4" s="1"/>
  <c r="D27" i="4"/>
  <c r="I27" i="4" s="1"/>
  <c r="I26" i="4"/>
  <c r="H26" i="4"/>
  <c r="J26" i="4" s="1"/>
  <c r="G26" i="4"/>
  <c r="D26" i="4"/>
  <c r="D25" i="4"/>
  <c r="I25" i="4" s="1"/>
  <c r="D24" i="4"/>
  <c r="I24" i="4" s="1"/>
  <c r="D23" i="4"/>
  <c r="D22" i="4"/>
  <c r="I22" i="4" s="1"/>
  <c r="D21" i="4"/>
  <c r="I21" i="4" s="1"/>
  <c r="D20" i="4"/>
  <c r="D19" i="4"/>
  <c r="I19" i="4" s="1"/>
  <c r="D18" i="4"/>
  <c r="I18" i="4" s="1"/>
  <c r="D17" i="4"/>
  <c r="I17" i="4" s="1"/>
  <c r="I16" i="4"/>
  <c r="D16" i="4"/>
  <c r="H16" i="4" s="1"/>
  <c r="J16" i="4" s="1"/>
  <c r="D15" i="4"/>
  <c r="I15" i="4" s="1"/>
  <c r="D14" i="4"/>
  <c r="I14" i="4" s="1"/>
  <c r="I13" i="4"/>
  <c r="H13" i="4"/>
  <c r="J13" i="4" s="1"/>
  <c r="D13" i="4"/>
  <c r="G13" i="4" s="1"/>
  <c r="D12" i="4"/>
  <c r="I12" i="4" s="1"/>
  <c r="D11" i="4"/>
  <c r="I11" i="4" s="1"/>
  <c r="I10" i="4"/>
  <c r="H10" i="4"/>
  <c r="J10" i="4" s="1"/>
  <c r="G10" i="4"/>
  <c r="D10" i="4"/>
  <c r="D9" i="4"/>
  <c r="I9" i="4" s="1"/>
  <c r="D8" i="4"/>
  <c r="I8" i="4" s="1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8" i="3"/>
  <c r="I2" i="1"/>
  <c r="H11" i="1" s="1"/>
  <c r="K11" i="1" s="1"/>
  <c r="E7" i="1"/>
  <c r="I20" i="4" l="1"/>
  <c r="H20" i="4"/>
  <c r="J20" i="4" s="1"/>
  <c r="G20" i="4"/>
  <c r="I23" i="4"/>
  <c r="H23" i="4"/>
  <c r="J23" i="4" s="1"/>
  <c r="G23" i="4"/>
  <c r="G17" i="4"/>
  <c r="G8" i="4"/>
  <c r="G14" i="4"/>
  <c r="H17" i="4"/>
  <c r="J17" i="4" s="1"/>
  <c r="G30" i="4"/>
  <c r="H8" i="4"/>
  <c r="G11" i="4"/>
  <c r="H14" i="4"/>
  <c r="J14" i="4" s="1"/>
  <c r="G27" i="4"/>
  <c r="H30" i="4"/>
  <c r="J30" i="4" s="1"/>
  <c r="H11" i="4"/>
  <c r="J11" i="4" s="1"/>
  <c r="G24" i="4"/>
  <c r="H27" i="4"/>
  <c r="J27" i="4" s="1"/>
  <c r="G21" i="4"/>
  <c r="H24" i="4"/>
  <c r="J24" i="4" s="1"/>
  <c r="G18" i="4"/>
  <c r="H21" i="4"/>
  <c r="J21" i="4" s="1"/>
  <c r="G15" i="4"/>
  <c r="H18" i="4"/>
  <c r="J18" i="4" s="1"/>
  <c r="G31" i="4"/>
  <c r="G9" i="4"/>
  <c r="G12" i="4"/>
  <c r="H15" i="4"/>
  <c r="J15" i="4" s="1"/>
  <c r="G28" i="4"/>
  <c r="H31" i="4"/>
  <c r="J31" i="4" s="1"/>
  <c r="H9" i="4"/>
  <c r="J9" i="4" s="1"/>
  <c r="H12" i="4"/>
  <c r="J12" i="4" s="1"/>
  <c r="G25" i="4"/>
  <c r="H28" i="4"/>
  <c r="J28" i="4" s="1"/>
  <c r="G22" i="4"/>
  <c r="H25" i="4"/>
  <c r="J25" i="4" s="1"/>
  <c r="G19" i="4"/>
  <c r="H22" i="4"/>
  <c r="J22" i="4" s="1"/>
  <c r="G16" i="4"/>
  <c r="H19" i="4"/>
  <c r="J19" i="4" s="1"/>
  <c r="H9" i="1"/>
  <c r="K9" i="1" s="1"/>
  <c r="H8" i="1"/>
  <c r="K8" i="1" s="1"/>
  <c r="H10" i="1"/>
  <c r="K10" i="1" s="1"/>
  <c r="H7" i="1"/>
  <c r="K7" i="1" s="1"/>
  <c r="H6" i="1"/>
  <c r="K6" i="1" s="1"/>
  <c r="H18" i="1"/>
  <c r="K18" i="1" s="1"/>
  <c r="H17" i="1"/>
  <c r="K17" i="1" s="1"/>
  <c r="H16" i="1"/>
  <c r="K16" i="1" s="1"/>
  <c r="H15" i="1"/>
  <c r="K15" i="1" s="1"/>
  <c r="H14" i="1"/>
  <c r="K14" i="1" s="1"/>
  <c r="H13" i="1"/>
  <c r="K13" i="1" s="1"/>
  <c r="H12" i="1"/>
  <c r="K12" i="1" s="1"/>
  <c r="E8" i="1"/>
  <c r="E18" i="1"/>
  <c r="E16" i="1"/>
  <c r="E13" i="1"/>
  <c r="E10" i="1"/>
  <c r="E9" i="1"/>
  <c r="E6" i="1"/>
  <c r="E17" i="1"/>
  <c r="E15" i="1"/>
  <c r="E14" i="1"/>
  <c r="E12" i="1"/>
  <c r="E11" i="1"/>
  <c r="J8" i="4" l="1"/>
  <c r="R8" i="4" s="1"/>
  <c r="R9" i="4" s="1"/>
  <c r="R7" i="4"/>
  <c r="H19" i="1"/>
  <c r="K19" i="1"/>
  <c r="I1" i="1"/>
  <c r="I7" i="1" s="1"/>
  <c r="J7" i="1" s="1"/>
  <c r="I18" i="1" l="1"/>
  <c r="J18" i="1" s="1"/>
  <c r="I16" i="1"/>
  <c r="J16" i="1" s="1"/>
  <c r="I13" i="1"/>
  <c r="J13" i="1" s="1"/>
  <c r="I9" i="1"/>
  <c r="J9" i="1" s="1"/>
  <c r="I6" i="1"/>
  <c r="J6" i="1" s="1"/>
  <c r="I17" i="1"/>
  <c r="J17" i="1" s="1"/>
  <c r="I15" i="1"/>
  <c r="J15" i="1" s="1"/>
  <c r="I14" i="1"/>
  <c r="J14" i="1" s="1"/>
  <c r="I12" i="1"/>
  <c r="J12" i="1" s="1"/>
  <c r="I10" i="1"/>
  <c r="J10" i="1" s="1"/>
  <c r="I11" i="1"/>
  <c r="J11" i="1" s="1"/>
  <c r="I8" i="1"/>
  <c r="J8" i="1" s="1"/>
  <c r="J19" i="1" l="1"/>
  <c r="L19" i="1" s="1"/>
  <c r="I19" i="1"/>
</calcChain>
</file>

<file path=xl/sharedStrings.xml><?xml version="1.0" encoding="utf-8"?>
<sst xmlns="http://schemas.openxmlformats.org/spreadsheetml/2006/main" count="76" uniqueCount="42">
  <si>
    <t>poblacion en eeuu</t>
  </si>
  <si>
    <t>Año</t>
  </si>
  <si>
    <t>Poblacion</t>
  </si>
  <si>
    <t>Datos recuperados de</t>
  </si>
  <si>
    <t>https://www.census.gov/programs-surveys/decennial-census/decade.html</t>
  </si>
  <si>
    <t>(Dado en millones)</t>
  </si>
  <si>
    <t>\hat{y}</t>
  </si>
  <si>
    <t>K</t>
  </si>
  <si>
    <t>\hat{t}</t>
  </si>
  <si>
    <t>Variable Predictora</t>
  </si>
  <si>
    <t>Calculo de b</t>
  </si>
  <si>
    <t xml:space="preserve">t </t>
  </si>
  <si>
    <t>y_t</t>
  </si>
  <si>
    <t>y_0 = a</t>
  </si>
  <si>
    <t>b</t>
  </si>
  <si>
    <t>a</t>
  </si>
  <si>
    <t>Comparación Población Observada y la Predicha por el Modelo Logístico de Pearl y Reed</t>
  </si>
  <si>
    <t>Modelo Logístico</t>
  </si>
  <si>
    <t>Real</t>
  </si>
  <si>
    <t>(Given in millions)</t>
  </si>
  <si>
    <t>Predictor variable</t>
  </si>
  <si>
    <t>(real-preal)^2</t>
  </si>
  <si>
    <t>Total</t>
  </si>
  <si>
    <t>Prediction</t>
  </si>
  <si>
    <t>Error</t>
  </si>
  <si>
    <t>Error absoluto</t>
  </si>
  <si>
    <t>% Error</t>
  </si>
  <si>
    <t>err abs ^2</t>
  </si>
  <si>
    <t>total</t>
  </si>
  <si>
    <t>entrenamiento</t>
  </si>
  <si>
    <t>prediccion</t>
  </si>
  <si>
    <t>a1950</t>
  </si>
  <si>
    <t>d1950</t>
  </si>
  <si>
    <t>MAE</t>
  </si>
  <si>
    <t>mse</t>
  </si>
  <si>
    <t>RMSE</t>
  </si>
  <si>
    <t>hatp</t>
  </si>
  <si>
    <t>r^2</t>
  </si>
  <si>
    <t>Entrenamiento</t>
  </si>
  <si>
    <t>prediccion total</t>
  </si>
  <si>
    <t>prediccion hasta antes de 1950</t>
  </si>
  <si>
    <t>prediccion despues de 1950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</si>
</sst>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E+0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3" fillId="0" borderId="0" xfId="0" applyFont="1"/>
    <xf numFmtId="0" fontId="4" fillId="0" borderId="0" xfId="0" applyFont="1"/>
    <xf numFmtId="0" fontId="1" fillId="0" borderId="0" xfId="0" applyFont="1"/>
    <xf numFmtId="11" fontId="5" fillId="0" borderId="0" xfId="0" applyNumberFormat="1" applyFont="1"/>
    <xf numFmtId="11" fontId="0" fillId="0" borderId="0" xfId="0" applyNumberForma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3" fontId="7" fillId="5" borderId="2" xfId="0" applyNumberFormat="1" applyFont="1" applyFill="1" applyBorder="1" applyAlignment="1">
      <alignment horizontal="center" vertical="center"/>
    </xf>
    <xf numFmtId="11" fontId="8" fillId="5" borderId="2" xfId="0" applyNumberFormat="1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3" fontId="8" fillId="8" borderId="2" xfId="0" applyNumberFormat="1" applyFont="1" applyFill="1" applyBorder="1" applyAlignment="1">
      <alignment horizontal="center" vertical="center"/>
    </xf>
    <xf numFmtId="3" fontId="8" fillId="5" borderId="2" xfId="0" applyNumberFormat="1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3" fontId="8" fillId="6" borderId="2" xfId="0" applyNumberFormat="1" applyFont="1" applyFill="1" applyBorder="1" applyAlignment="1">
      <alignment horizontal="center" vertical="center"/>
    </xf>
    <xf numFmtId="11" fontId="8" fillId="6" borderId="2" xfId="0" applyNumberFormat="1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3" fontId="8" fillId="9" borderId="2" xfId="0" applyNumberFormat="1" applyFont="1" applyFill="1" applyBorder="1" applyAlignment="1">
      <alignment horizontal="center" vertical="center"/>
    </xf>
    <xf numFmtId="3" fontId="8" fillId="7" borderId="2" xfId="0" applyNumberFormat="1" applyFont="1" applyFill="1" applyBorder="1" applyAlignment="1">
      <alignment horizontal="center" vertical="center"/>
    </xf>
    <xf numFmtId="11" fontId="8" fillId="7" borderId="2" xfId="0" applyNumberFormat="1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3" fontId="5" fillId="2" borderId="2" xfId="0" applyNumberFormat="1" applyFont="1" applyFill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center" vertical="center" wrapText="1"/>
    </xf>
    <xf numFmtId="3" fontId="5" fillId="3" borderId="2" xfId="0" applyNumberFormat="1" applyFont="1" applyFill="1" applyBorder="1" applyAlignment="1">
      <alignment horizontal="center" vertical="center" wrapText="1"/>
    </xf>
    <xf numFmtId="3" fontId="5" fillId="4" borderId="2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3" fontId="0" fillId="0" borderId="0" xfId="0" applyNumberFormat="1"/>
    <xf numFmtId="0" fontId="1" fillId="10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 vertical="center"/>
    </xf>
    <xf numFmtId="0" fontId="0" fillId="10" borderId="2" xfId="0" applyFill="1" applyBorder="1" applyAlignment="1">
      <alignment horizontal="right" vertical="center"/>
    </xf>
    <xf numFmtId="0" fontId="4" fillId="10" borderId="2" xfId="0" applyFont="1" applyFill="1" applyBorder="1" applyAlignment="1">
      <alignment horizontal="center"/>
    </xf>
    <xf numFmtId="3" fontId="1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/>
    </xf>
    <xf numFmtId="3" fontId="5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1"/>
    <xf numFmtId="164" fontId="2" fillId="0" borderId="0" xfId="0" applyNumberFormat="1" applyFont="1" applyAlignment="1">
      <alignment horizontal="center" vertical="center"/>
    </xf>
    <xf numFmtId="164" fontId="0" fillId="0" borderId="0" xfId="0" applyNumberFormat="1"/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 vertical="center"/>
    </xf>
    <xf numFmtId="0" fontId="2" fillId="8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Población Real vs Modelo Logistico en E.E.U.U. (1790   - 2020)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Prediccion!$C$7</c:f>
              <c:strCache>
                <c:ptCount val="1"/>
                <c:pt idx="0">
                  <c:v>Modelo Logístico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Prediccion!$B$8:$B$31</c:f>
              <c:numCache>
                <c:formatCode>General</c:formatCode>
                <c:ptCount val="24"/>
                <c:pt idx="0">
                  <c:v>1790</c:v>
                </c:pt>
                <c:pt idx="1">
                  <c:v>1800</c:v>
                </c:pt>
                <c:pt idx="2">
                  <c:v>1810</c:v>
                </c:pt>
                <c:pt idx="3">
                  <c:v>1820</c:v>
                </c:pt>
                <c:pt idx="4">
                  <c:v>1830</c:v>
                </c:pt>
                <c:pt idx="5">
                  <c:v>1840</c:v>
                </c:pt>
                <c:pt idx="6">
                  <c:v>1850</c:v>
                </c:pt>
                <c:pt idx="7">
                  <c:v>1860</c:v>
                </c:pt>
                <c:pt idx="8">
                  <c:v>1870</c:v>
                </c:pt>
                <c:pt idx="9">
                  <c:v>1880</c:v>
                </c:pt>
                <c:pt idx="10">
                  <c:v>1890</c:v>
                </c:pt>
                <c:pt idx="11">
                  <c:v>1900</c:v>
                </c:pt>
                <c:pt idx="12">
                  <c:v>1910</c:v>
                </c:pt>
                <c:pt idx="13">
                  <c:v>1920</c:v>
                </c:pt>
                <c:pt idx="14">
                  <c:v>1930</c:v>
                </c:pt>
                <c:pt idx="15">
                  <c:v>1940</c:v>
                </c:pt>
                <c:pt idx="16">
                  <c:v>1950</c:v>
                </c:pt>
                <c:pt idx="17">
                  <c:v>1960</c:v>
                </c:pt>
                <c:pt idx="18">
                  <c:v>1970</c:v>
                </c:pt>
                <c:pt idx="19">
                  <c:v>1980</c:v>
                </c:pt>
                <c:pt idx="20">
                  <c:v>1990</c:v>
                </c:pt>
                <c:pt idx="21">
                  <c:v>2000</c:v>
                </c:pt>
                <c:pt idx="22">
                  <c:v>2010</c:v>
                </c:pt>
                <c:pt idx="23">
                  <c:v>2020</c:v>
                </c:pt>
              </c:numCache>
            </c:numRef>
          </c:xVal>
          <c:yVal>
            <c:numRef>
              <c:f>Prediccion!$C$8:$C$31</c:f>
              <c:numCache>
                <c:formatCode>#,##0</c:formatCode>
                <c:ptCount val="24"/>
                <c:pt idx="0">
                  <c:v>3929213.9999999995</c:v>
                </c:pt>
                <c:pt idx="1">
                  <c:v>5339007.0865799719</c:v>
                </c:pt>
                <c:pt idx="2">
                  <c:v>7235700.2373977425</c:v>
                </c:pt>
                <c:pt idx="3">
                  <c:v>9771891.7248517256</c:v>
                </c:pt>
                <c:pt idx="4">
                  <c:v>13135598.762404067</c:v>
                </c:pt>
                <c:pt idx="5">
                  <c:v>17548800.359154098</c:v>
                </c:pt>
                <c:pt idx="6">
                  <c:v>23257439.800246429</c:v>
                </c:pt>
                <c:pt idx="7">
                  <c:v>30507872.34959786</c:v>
                </c:pt>
                <c:pt idx="8">
                  <c:v>39505456.348480403</c:v>
                </c:pt>
                <c:pt idx="9">
                  <c:v>50355380.013859048</c:v>
                </c:pt>
                <c:pt idx="10">
                  <c:v>62995308.710184157</c:v>
                </c:pt>
                <c:pt idx="11">
                  <c:v>77142063.01747036</c:v>
                </c:pt>
                <c:pt idx="12">
                  <c:v>92282348.18011032</c:v>
                </c:pt>
                <c:pt idx="13">
                  <c:v>107729327.7212922</c:v>
                </c:pt>
                <c:pt idx="14">
                  <c:v>122739122.88685867</c:v>
                </c:pt>
                <c:pt idx="15">
                  <c:v>136648671.81304938</c:v>
                </c:pt>
                <c:pt idx="16">
                  <c:v>148983559.29732096</c:v>
                </c:pt>
                <c:pt idx="17">
                  <c:v>159502294.64892316</c:v>
                </c:pt>
                <c:pt idx="18">
                  <c:v>168177081.45158452</c:v>
                </c:pt>
                <c:pt idx="19">
                  <c:v>175135872.57694671</c:v>
                </c:pt>
                <c:pt idx="20">
                  <c:v>180595211.23068371</c:v>
                </c:pt>
                <c:pt idx="21">
                  <c:v>184803860.94381759</c:v>
                </c:pt>
                <c:pt idx="22">
                  <c:v>188004761.74763182</c:v>
                </c:pt>
                <c:pt idx="23">
                  <c:v>190414264.74583375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5A-47ED-B7ED-30551BF48A4F}"/>
            </c:ext>
          </c:extLst>
        </c:ser>
        <c:ser>
          <c:idx val="1"/>
          <c:order val="1"/>
          <c:tx>
            <c:strRef>
              <c:f>Prediccion!$D$7</c:f>
              <c:strCache>
                <c:ptCount val="1"/>
                <c:pt idx="0">
                  <c:v>Real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Prediccion!$B$8:$B$31</c:f>
              <c:numCache>
                <c:formatCode>General</c:formatCode>
                <c:ptCount val="24"/>
                <c:pt idx="0">
                  <c:v>1790</c:v>
                </c:pt>
                <c:pt idx="1">
                  <c:v>1800</c:v>
                </c:pt>
                <c:pt idx="2">
                  <c:v>1810</c:v>
                </c:pt>
                <c:pt idx="3">
                  <c:v>1820</c:v>
                </c:pt>
                <c:pt idx="4">
                  <c:v>1830</c:v>
                </c:pt>
                <c:pt idx="5">
                  <c:v>1840</c:v>
                </c:pt>
                <c:pt idx="6">
                  <c:v>1850</c:v>
                </c:pt>
                <c:pt idx="7">
                  <c:v>1860</c:v>
                </c:pt>
                <c:pt idx="8">
                  <c:v>1870</c:v>
                </c:pt>
                <c:pt idx="9">
                  <c:v>1880</c:v>
                </c:pt>
                <c:pt idx="10">
                  <c:v>1890</c:v>
                </c:pt>
                <c:pt idx="11">
                  <c:v>1900</c:v>
                </c:pt>
                <c:pt idx="12">
                  <c:v>1910</c:v>
                </c:pt>
                <c:pt idx="13">
                  <c:v>1920</c:v>
                </c:pt>
                <c:pt idx="14">
                  <c:v>1930</c:v>
                </c:pt>
                <c:pt idx="15">
                  <c:v>1940</c:v>
                </c:pt>
                <c:pt idx="16">
                  <c:v>1950</c:v>
                </c:pt>
                <c:pt idx="17">
                  <c:v>1960</c:v>
                </c:pt>
                <c:pt idx="18">
                  <c:v>1970</c:v>
                </c:pt>
                <c:pt idx="19">
                  <c:v>1980</c:v>
                </c:pt>
                <c:pt idx="20">
                  <c:v>1990</c:v>
                </c:pt>
                <c:pt idx="21">
                  <c:v>2000</c:v>
                </c:pt>
                <c:pt idx="22">
                  <c:v>2010</c:v>
                </c:pt>
                <c:pt idx="23">
                  <c:v>2020</c:v>
                </c:pt>
              </c:numCache>
            </c:numRef>
          </c:xVal>
          <c:yVal>
            <c:numRef>
              <c:f>Prediccion!$D$8:$D$31</c:f>
              <c:numCache>
                <c:formatCode>#,##0</c:formatCode>
                <c:ptCount val="24"/>
                <c:pt idx="0">
                  <c:v>3929214</c:v>
                </c:pt>
                <c:pt idx="1">
                  <c:v>5308483</c:v>
                </c:pt>
                <c:pt idx="2">
                  <c:v>7239881</c:v>
                </c:pt>
                <c:pt idx="3">
                  <c:v>9638453</c:v>
                </c:pt>
                <c:pt idx="4">
                  <c:v>12866020</c:v>
                </c:pt>
                <c:pt idx="5">
                  <c:v>17069453</c:v>
                </c:pt>
                <c:pt idx="6">
                  <c:v>23191876</c:v>
                </c:pt>
                <c:pt idx="7">
                  <c:v>31443321</c:v>
                </c:pt>
                <c:pt idx="8">
                  <c:v>38558371</c:v>
                </c:pt>
                <c:pt idx="9">
                  <c:v>50189209</c:v>
                </c:pt>
                <c:pt idx="10">
                  <c:v>62979766</c:v>
                </c:pt>
                <c:pt idx="11">
                  <c:v>76212168</c:v>
                </c:pt>
                <c:pt idx="12">
                  <c:v>92228496</c:v>
                </c:pt>
                <c:pt idx="13">
                  <c:v>106021537</c:v>
                </c:pt>
                <c:pt idx="14">
                  <c:v>123202624</c:v>
                </c:pt>
                <c:pt idx="15">
                  <c:v>132164569</c:v>
                </c:pt>
                <c:pt idx="16">
                  <c:v>151325798</c:v>
                </c:pt>
                <c:pt idx="17">
                  <c:v>179323175</c:v>
                </c:pt>
                <c:pt idx="18">
                  <c:v>203302031</c:v>
                </c:pt>
                <c:pt idx="19">
                  <c:v>226545805</c:v>
                </c:pt>
                <c:pt idx="20">
                  <c:v>248709873</c:v>
                </c:pt>
                <c:pt idx="21">
                  <c:v>281421906</c:v>
                </c:pt>
                <c:pt idx="22">
                  <c:v>308745538</c:v>
                </c:pt>
                <c:pt idx="23">
                  <c:v>331449281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5A-47ED-B7ED-30551BF48A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603775"/>
        <c:axId val="468601855"/>
      </c:scatterChart>
      <c:valAx>
        <c:axId val="468603775"/>
        <c:scaling>
          <c:orientation val="minMax"/>
          <c:max val="2020"/>
          <c:min val="17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68601855"/>
        <c:crosses val="autoZero"/>
        <c:crossBetween val="midCat"/>
        <c:majorUnit val="20"/>
      </c:valAx>
      <c:valAx>
        <c:axId val="468601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Poblacion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#,,&quot; M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686037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Error porcentual individual de Población Real vs. Modelo Logístico en E.E.U.U. (1790   - 2020)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Error!$H$44:$H$67</c:f>
              <c:numCache>
                <c:formatCode>General</c:formatCode>
                <c:ptCount val="24"/>
                <c:pt idx="0">
                  <c:v>1790</c:v>
                </c:pt>
                <c:pt idx="1">
                  <c:v>1800</c:v>
                </c:pt>
                <c:pt idx="2">
                  <c:v>1810</c:v>
                </c:pt>
                <c:pt idx="3">
                  <c:v>1820</c:v>
                </c:pt>
                <c:pt idx="4">
                  <c:v>1830</c:v>
                </c:pt>
                <c:pt idx="5">
                  <c:v>1840</c:v>
                </c:pt>
                <c:pt idx="6">
                  <c:v>1850</c:v>
                </c:pt>
                <c:pt idx="7">
                  <c:v>1860</c:v>
                </c:pt>
                <c:pt idx="8">
                  <c:v>1870</c:v>
                </c:pt>
                <c:pt idx="9">
                  <c:v>1880</c:v>
                </c:pt>
                <c:pt idx="10">
                  <c:v>1890</c:v>
                </c:pt>
                <c:pt idx="11">
                  <c:v>1900</c:v>
                </c:pt>
                <c:pt idx="12">
                  <c:v>1910</c:v>
                </c:pt>
                <c:pt idx="13">
                  <c:v>1920</c:v>
                </c:pt>
                <c:pt idx="14">
                  <c:v>1930</c:v>
                </c:pt>
                <c:pt idx="15">
                  <c:v>1940</c:v>
                </c:pt>
                <c:pt idx="16">
                  <c:v>1950</c:v>
                </c:pt>
                <c:pt idx="17">
                  <c:v>1960</c:v>
                </c:pt>
                <c:pt idx="18">
                  <c:v>1970</c:v>
                </c:pt>
                <c:pt idx="19">
                  <c:v>1980</c:v>
                </c:pt>
                <c:pt idx="20">
                  <c:v>1990</c:v>
                </c:pt>
                <c:pt idx="21">
                  <c:v>2000</c:v>
                </c:pt>
                <c:pt idx="22">
                  <c:v>2010</c:v>
                </c:pt>
                <c:pt idx="23">
                  <c:v>2020</c:v>
                </c:pt>
              </c:numCache>
            </c:numRef>
          </c:xVal>
          <c:yVal>
            <c:numRef>
              <c:f>Error!$I$44:$I$67</c:f>
              <c:numCache>
                <c:formatCode>General</c:formatCode>
                <c:ptCount val="24"/>
                <c:pt idx="0">
                  <c:v>-1.1851257969348048E-16</c:v>
                </c:pt>
                <c:pt idx="1">
                  <c:v>5.7500582708792597E-3</c:v>
                </c:pt>
                <c:pt idx="2">
                  <c:v>-5.7746288954991696E-4</c:v>
                </c:pt>
                <c:pt idx="3">
                  <c:v>1.3844413087009464E-2</c:v>
                </c:pt>
                <c:pt idx="4">
                  <c:v>2.0952770351986661E-2</c:v>
                </c:pt>
                <c:pt idx="5">
                  <c:v>2.8082174581347027E-2</c:v>
                </c:pt>
                <c:pt idx="6">
                  <c:v>2.827015815642887E-3</c:v>
                </c:pt>
                <c:pt idx="7">
                  <c:v>-2.9750313282815764E-2</c:v>
                </c:pt>
                <c:pt idx="8">
                  <c:v>2.456237968352977E-2</c:v>
                </c:pt>
                <c:pt idx="9">
                  <c:v>3.3108912686599322E-3</c:v>
                </c:pt>
                <c:pt idx="10">
                  <c:v>2.4678894780518705E-4</c:v>
                </c:pt>
                <c:pt idx="11">
                  <c:v>1.2201398305193992E-2</c:v>
                </c:pt>
                <c:pt idx="12">
                  <c:v>5.8389958034575835E-4</c:v>
                </c:pt>
                <c:pt idx="13">
                  <c:v>1.6107960416497241E-2</c:v>
                </c:pt>
                <c:pt idx="14">
                  <c:v>-3.7621042319790857E-3</c:v>
                </c:pt>
                <c:pt idx="15">
                  <c:v>3.3928176416550611E-2</c:v>
                </c:pt>
                <c:pt idx="16">
                  <c:v>-1.5478118956815532E-2</c:v>
                </c:pt>
                <c:pt idx="17">
                  <c:v>-0.11053161617887282</c:v>
                </c:pt>
                <c:pt idx="18">
                  <c:v>-0.1727722510967708</c:v>
                </c:pt>
                <c:pt idx="19">
                  <c:v>-0.22692952722321783</c:v>
                </c:pt>
                <c:pt idx="20">
                  <c:v>-0.27387196554644327</c:v>
                </c:pt>
                <c:pt idx="21">
                  <c:v>-0.34332098175819481</c:v>
                </c:pt>
                <c:pt idx="22">
                  <c:v>-0.39106889458065036</c:v>
                </c:pt>
                <c:pt idx="23">
                  <c:v>-0.42551009864512646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04-4962-BAD6-C223186B5B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871624"/>
        <c:axId val="1989873672"/>
      </c:scatterChart>
      <c:valAx>
        <c:axId val="1989871624"/>
        <c:scaling>
          <c:orientation val="minMax"/>
          <c:max val="2020"/>
          <c:min val="17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873672"/>
        <c:crosses val="autoZero"/>
        <c:crossBetween val="midCat"/>
        <c:majorUnit val="20"/>
      </c:valAx>
      <c:valAx>
        <c:axId val="1989873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 porcentual individual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871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117197</xdr:colOff>
      <xdr:row>4</xdr:row>
      <xdr:rowOff>8622</xdr:rowOff>
    </xdr:from>
    <xdr:ext cx="358175" cy="17350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649AD553-43AC-629F-93D5-E8F49DCC7026}"/>
                </a:ext>
              </a:extLst>
            </xdr:cNvPr>
            <xdr:cNvSpPr txBox="1"/>
          </xdr:nvSpPr>
          <xdr:spPr>
            <a:xfrm>
              <a:off x="6435447" y="757922"/>
              <a:ext cx="358175" cy="1735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  <m:acc>
                      <m:accPr>
                        <m:chr m:val="̂"/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</m:acc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649AD553-43AC-629F-93D5-E8F49DCC7026}"/>
                </a:ext>
              </a:extLst>
            </xdr:cNvPr>
            <xdr:cNvSpPr txBox="1"/>
          </xdr:nvSpPr>
          <xdr:spPr>
            <a:xfrm>
              <a:off x="6435447" y="757922"/>
              <a:ext cx="358175" cy="1735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𝑡_𝑖−𝑡 ̂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8</xdr:col>
      <xdr:colOff>186988</xdr:colOff>
      <xdr:row>3</xdr:row>
      <xdr:rowOff>184291</xdr:rowOff>
    </xdr:from>
    <xdr:ext cx="40145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78DDC3BF-954E-4BC8-02DF-3205113F0BC2}"/>
                </a:ext>
              </a:extLst>
            </xdr:cNvPr>
            <xdr:cNvSpPr txBox="1"/>
          </xdr:nvSpPr>
          <xdr:spPr>
            <a:xfrm>
              <a:off x="7152938" y="743091"/>
              <a:ext cx="4014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  <m:acc>
                      <m:accPr>
                        <m:chr m:val="̂"/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78DDC3BF-954E-4BC8-02DF-3205113F0BC2}"/>
                </a:ext>
              </a:extLst>
            </xdr:cNvPr>
            <xdr:cNvSpPr txBox="1"/>
          </xdr:nvSpPr>
          <xdr:spPr>
            <a:xfrm>
              <a:off x="7152938" y="743091"/>
              <a:ext cx="4014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𝑦_𝑖−𝑦 ̂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9</xdr:col>
      <xdr:colOff>219868</xdr:colOff>
      <xdr:row>3</xdr:row>
      <xdr:rowOff>175419</xdr:rowOff>
    </xdr:from>
    <xdr:ext cx="219163" cy="1829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74A3D0FF-6B3E-C382-8FE3-070DD7C2BF22}"/>
                </a:ext>
              </a:extLst>
            </xdr:cNvPr>
            <xdr:cNvSpPr txBox="1"/>
          </xdr:nvSpPr>
          <xdr:spPr>
            <a:xfrm>
              <a:off x="8011318" y="734219"/>
              <a:ext cx="219163" cy="182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𝑡𝑦</m:t>
                        </m:r>
                      </m:sub>
                    </m:sSub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74A3D0FF-6B3E-C382-8FE3-070DD7C2BF22}"/>
                </a:ext>
              </a:extLst>
            </xdr:cNvPr>
            <xdr:cNvSpPr txBox="1"/>
          </xdr:nvSpPr>
          <xdr:spPr>
            <a:xfrm>
              <a:off x="8011318" y="734219"/>
              <a:ext cx="219163" cy="182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𝑆_𝑡𝑦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10</xdr:col>
      <xdr:colOff>255588</xdr:colOff>
      <xdr:row>4</xdr:row>
      <xdr:rowOff>3175</xdr:rowOff>
    </xdr:from>
    <xdr:ext cx="19954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6AA83D63-570C-4119-AE7A-4F8123123803}"/>
                </a:ext>
              </a:extLst>
            </xdr:cNvPr>
            <xdr:cNvSpPr txBox="1"/>
          </xdr:nvSpPr>
          <xdr:spPr>
            <a:xfrm>
              <a:off x="8694738" y="752475"/>
              <a:ext cx="19954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𝑡𝑡</m:t>
                        </m:r>
                      </m:sub>
                    </m:sSub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6AA83D63-570C-4119-AE7A-4F8123123803}"/>
                </a:ext>
              </a:extLst>
            </xdr:cNvPr>
            <xdr:cNvSpPr txBox="1"/>
          </xdr:nvSpPr>
          <xdr:spPr>
            <a:xfrm>
              <a:off x="8694738" y="752475"/>
              <a:ext cx="19954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𝑆_𝑡𝑡</a:t>
              </a:r>
              <a:endParaRPr lang="es-MX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561975</xdr:colOff>
      <xdr:row>5</xdr:row>
      <xdr:rowOff>85725</xdr:rowOff>
    </xdr:from>
    <xdr:to>
      <xdr:col>20</xdr:col>
      <xdr:colOff>28575</xdr:colOff>
      <xdr:row>32</xdr:row>
      <xdr:rowOff>66675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B372B2D-2CF0-B5A9-8317-BABFF0BF4243}"/>
            </a:ext>
            <a:ext uri="{147F2762-F138-4A5C-976F-8EAC2B608ADB}">
              <a16:predDERef xmlns:a16="http://schemas.microsoft.com/office/drawing/2014/main" pred="{D44F747E-985E-260B-A0B3-CBB07FAED2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314325</xdr:colOff>
      <xdr:row>37</xdr:row>
      <xdr:rowOff>95250</xdr:rowOff>
    </xdr:from>
    <xdr:to>
      <xdr:col>14</xdr:col>
      <xdr:colOff>523875</xdr:colOff>
      <xdr:row>59</xdr:row>
      <xdr:rowOff>171450</xdr:rowOff>
    </xdr:to>
    <xdr:graphicFrame macro="">
      <xdr:nvGraphicFramePr>
        <xdr:cNvPr id="2" name="Chart 6">
          <a:extLst>
            <a:ext uri="{FF2B5EF4-FFF2-40B4-BE49-F238E27FC236}">
              <a16:creationId xmlns:a16="http://schemas.microsoft.com/office/drawing/2014/main" id="{081E8717-29AA-EE57-E4EF-20C13569AC33}"/>
            </a:ext>
            <a:ext uri="{147F2762-F138-4A5C-976F-8EAC2B608ADB}">
              <a16:predDERef xmlns:a16="http://schemas.microsoft.com/office/drawing/2014/main" pred="{9EAA955F-BBD0-EF3D-67E5-395F54F023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sus.gov/programs-surveys/decennial-census/decade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DF88-CC52-492C-A861-20119CA83BD6}">
  <dimension ref="B1:F26"/>
  <sheetViews>
    <sheetView workbookViewId="0">
      <selection activeCell="F3" sqref="F3"/>
    </sheetView>
  </sheetViews>
  <sheetFormatPr defaultColWidth="11.42578125" defaultRowHeight="14.45"/>
  <sheetData>
    <row r="1" spans="2:6">
      <c r="B1" t="s">
        <v>0</v>
      </c>
    </row>
    <row r="2" spans="2:6">
      <c r="B2" s="5" t="s">
        <v>1</v>
      </c>
      <c r="C2" s="5" t="s">
        <v>2</v>
      </c>
      <c r="F2" t="s">
        <v>3</v>
      </c>
    </row>
    <row r="3" spans="2:6" ht="15">
      <c r="B3" s="6">
        <v>1790</v>
      </c>
      <c r="C3" s="7">
        <v>3929214</v>
      </c>
      <c r="F3" s="55" t="s">
        <v>4</v>
      </c>
    </row>
    <row r="4" spans="2:6">
      <c r="B4" s="6">
        <v>1800</v>
      </c>
      <c r="C4" s="7">
        <v>5308483</v>
      </c>
    </row>
    <row r="5" spans="2:6">
      <c r="B5" s="6">
        <v>1810</v>
      </c>
      <c r="C5" s="7">
        <v>7239881</v>
      </c>
    </row>
    <row r="6" spans="2:6">
      <c r="B6" s="6">
        <v>1820</v>
      </c>
      <c r="C6" s="7">
        <v>9638453</v>
      </c>
    </row>
    <row r="7" spans="2:6">
      <c r="B7" s="6">
        <v>1830</v>
      </c>
      <c r="C7" s="7">
        <v>12866020</v>
      </c>
    </row>
    <row r="8" spans="2:6">
      <c r="B8" s="6">
        <v>1840</v>
      </c>
      <c r="C8" s="7">
        <v>17069453</v>
      </c>
    </row>
    <row r="9" spans="2:6">
      <c r="B9" s="6">
        <v>1850</v>
      </c>
      <c r="C9" s="7">
        <v>23191876</v>
      </c>
    </row>
    <row r="10" spans="2:6">
      <c r="B10" s="6">
        <v>1860</v>
      </c>
      <c r="C10" s="7">
        <v>31443321</v>
      </c>
    </row>
    <row r="11" spans="2:6">
      <c r="B11" s="6">
        <v>1870</v>
      </c>
      <c r="C11" s="7">
        <v>38558371</v>
      </c>
    </row>
    <row r="12" spans="2:6">
      <c r="B12" s="6">
        <v>1880</v>
      </c>
      <c r="C12" s="7">
        <v>50189209</v>
      </c>
    </row>
    <row r="13" spans="2:6">
      <c r="B13" s="6">
        <v>1890</v>
      </c>
      <c r="C13" s="7">
        <v>62979766</v>
      </c>
    </row>
    <row r="14" spans="2:6">
      <c r="B14" s="6">
        <v>1900</v>
      </c>
      <c r="C14" s="7">
        <v>76212168</v>
      </c>
    </row>
    <row r="15" spans="2:6">
      <c r="B15" s="6">
        <v>1910</v>
      </c>
      <c r="C15" s="7">
        <v>92228496</v>
      </c>
    </row>
    <row r="16" spans="2:6">
      <c r="B16" s="6">
        <v>1920</v>
      </c>
      <c r="C16" s="7">
        <v>106021537</v>
      </c>
    </row>
    <row r="17" spans="2:3">
      <c r="B17" s="6">
        <v>1930</v>
      </c>
      <c r="C17" s="7">
        <v>123202624</v>
      </c>
    </row>
    <row r="18" spans="2:3">
      <c r="B18" s="6">
        <v>1940</v>
      </c>
      <c r="C18" s="7">
        <v>132164569</v>
      </c>
    </row>
    <row r="19" spans="2:3">
      <c r="B19" s="6">
        <v>1950</v>
      </c>
      <c r="C19" s="7">
        <v>151325798</v>
      </c>
    </row>
    <row r="20" spans="2:3">
      <c r="B20" s="6">
        <v>1960</v>
      </c>
      <c r="C20" s="7">
        <v>179323175</v>
      </c>
    </row>
    <row r="21" spans="2:3">
      <c r="B21" s="6">
        <v>1970</v>
      </c>
      <c r="C21" s="7">
        <v>203302031</v>
      </c>
    </row>
    <row r="22" spans="2:3">
      <c r="B22" s="6">
        <v>1980</v>
      </c>
      <c r="C22" s="7">
        <v>226545805</v>
      </c>
    </row>
    <row r="23" spans="2:3">
      <c r="B23" s="6">
        <v>1990</v>
      </c>
      <c r="C23" s="7">
        <v>248709873</v>
      </c>
    </row>
    <row r="24" spans="2:3">
      <c r="B24" s="6">
        <v>2000</v>
      </c>
      <c r="C24" s="7">
        <v>281421906</v>
      </c>
    </row>
    <row r="25" spans="2:3">
      <c r="B25" s="6">
        <v>2010</v>
      </c>
      <c r="C25" s="7">
        <v>308745538</v>
      </c>
    </row>
    <row r="26" spans="2:3">
      <c r="B26">
        <v>2020</v>
      </c>
      <c r="C26" s="7">
        <v>331449281</v>
      </c>
    </row>
  </sheetData>
  <hyperlinks>
    <hyperlink ref="F3" r:id="rId1" xr:uid="{B9B5DEC2-1448-4E57-8B7D-47B450F66B2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B9CE3-7EC1-4CB6-95C5-DAC8F77A2027}">
  <dimension ref="B1:L56"/>
  <sheetViews>
    <sheetView zoomScaleNormal="90" workbookViewId="0">
      <selection activeCell="I7" sqref="I7"/>
    </sheetView>
  </sheetViews>
  <sheetFormatPr defaultColWidth="9.140625" defaultRowHeight="14.45"/>
  <cols>
    <col min="2" max="2" width="9.28515625" bestFit="1" customWidth="1"/>
    <col min="3" max="3" width="17.85546875" customWidth="1"/>
    <col min="4" max="4" width="19.5703125" customWidth="1"/>
    <col min="5" max="5" width="16.28515625" customWidth="1"/>
    <col min="8" max="8" width="9.28515625" bestFit="1" customWidth="1"/>
    <col min="9" max="9" width="11.85546875" bestFit="1" customWidth="1"/>
    <col min="10" max="12" width="9.28515625" bestFit="1" customWidth="1"/>
  </cols>
  <sheetData>
    <row r="1" spans="2:11">
      <c r="B1" s="1"/>
      <c r="C1" s="1" t="s">
        <v>5</v>
      </c>
      <c r="H1" t="s">
        <v>6</v>
      </c>
      <c r="I1">
        <f>AVERAGE(E6:E18)</f>
        <v>2.0198615452948938</v>
      </c>
    </row>
    <row r="2" spans="2:11">
      <c r="B2" s="2" t="s">
        <v>7</v>
      </c>
      <c r="C2" s="13">
        <v>197.27</v>
      </c>
      <c r="D2">
        <f>C2*1000000</f>
        <v>197270000</v>
      </c>
      <c r="H2" t="s">
        <v>8</v>
      </c>
      <c r="I2">
        <f>AVERAGE(C6:C18)</f>
        <v>60</v>
      </c>
    </row>
    <row r="3" spans="2:11" ht="15" thickBot="1">
      <c r="B3" s="2"/>
      <c r="C3" s="3"/>
    </row>
    <row r="4" spans="2:11" ht="15" thickBot="1">
      <c r="C4" s="4" t="s">
        <v>9</v>
      </c>
      <c r="H4" s="59" t="s">
        <v>10</v>
      </c>
      <c r="I4" s="59"/>
      <c r="J4" s="59"/>
      <c r="K4" s="59"/>
    </row>
    <row r="5" spans="2:11">
      <c r="B5" s="15" t="s">
        <v>1</v>
      </c>
      <c r="C5" s="14" t="s">
        <v>11</v>
      </c>
      <c r="D5" s="14" t="s">
        <v>2</v>
      </c>
      <c r="E5" s="15" t="s">
        <v>12</v>
      </c>
    </row>
    <row r="6" spans="2:11">
      <c r="B6" s="1">
        <v>1790</v>
      </c>
      <c r="C6" s="1">
        <v>0</v>
      </c>
      <c r="D6" s="7">
        <v>3929214</v>
      </c>
      <c r="E6" s="48">
        <f>LN(D$2/D6-1)</f>
        <v>3.896014956526749</v>
      </c>
      <c r="F6" s="47" t="s">
        <v>13</v>
      </c>
      <c r="H6">
        <f>C6-I$2</f>
        <v>-60</v>
      </c>
      <c r="I6">
        <f>E6-I$1</f>
        <v>1.8761534112318552</v>
      </c>
      <c r="J6">
        <f>I6*H6</f>
        <v>-112.56920467391132</v>
      </c>
      <c r="K6">
        <f>H6^2</f>
        <v>3600</v>
      </c>
    </row>
    <row r="7" spans="2:11">
      <c r="B7" s="1">
        <v>1800</v>
      </c>
      <c r="C7" s="1">
        <v>10</v>
      </c>
      <c r="D7" s="7">
        <v>5308483</v>
      </c>
      <c r="E7">
        <f t="shared" ref="E7:E18" si="0">LN(D$2/D7-1)</f>
        <v>3.587988812591743</v>
      </c>
      <c r="H7">
        <f t="shared" ref="H7:H18" si="1">C7-I$2</f>
        <v>-50</v>
      </c>
      <c r="I7">
        <f t="shared" ref="I7:I18" si="2">E7-I$1</f>
        <v>1.5681272672968491</v>
      </c>
      <c r="J7">
        <f t="shared" ref="J7:J18" si="3">I7*H7</f>
        <v>-78.406363364842463</v>
      </c>
      <c r="K7">
        <f t="shared" ref="K7:K18" si="4">H7^2</f>
        <v>2500</v>
      </c>
    </row>
    <row r="8" spans="2:11">
      <c r="B8" s="1">
        <v>1810</v>
      </c>
      <c r="C8" s="1">
        <v>20</v>
      </c>
      <c r="D8" s="7">
        <v>7239881</v>
      </c>
      <c r="E8">
        <f t="shared" si="0"/>
        <v>3.267577810851527</v>
      </c>
      <c r="H8">
        <f t="shared" si="1"/>
        <v>-40</v>
      </c>
      <c r="I8">
        <f t="shared" si="2"/>
        <v>1.2477162655566332</v>
      </c>
      <c r="J8">
        <f t="shared" si="3"/>
        <v>-49.908650622265327</v>
      </c>
      <c r="K8">
        <f t="shared" si="4"/>
        <v>1600</v>
      </c>
    </row>
    <row r="9" spans="2:11">
      <c r="B9" s="1">
        <v>1820</v>
      </c>
      <c r="C9" s="1">
        <v>30</v>
      </c>
      <c r="D9" s="7">
        <v>9638453</v>
      </c>
      <c r="E9">
        <f t="shared" si="0"/>
        <v>2.968719564849271</v>
      </c>
      <c r="H9">
        <f t="shared" si="1"/>
        <v>-30</v>
      </c>
      <c r="I9">
        <f t="shared" si="2"/>
        <v>0.94885801955437721</v>
      </c>
      <c r="J9">
        <f t="shared" si="3"/>
        <v>-28.465740586631316</v>
      </c>
      <c r="K9">
        <f t="shared" si="4"/>
        <v>900</v>
      </c>
    </row>
    <row r="10" spans="2:11">
      <c r="B10" s="1">
        <v>1830</v>
      </c>
      <c r="C10" s="1">
        <v>40</v>
      </c>
      <c r="D10" s="7">
        <v>12866020</v>
      </c>
      <c r="E10">
        <f t="shared" si="0"/>
        <v>2.662539166931384</v>
      </c>
      <c r="H10">
        <f t="shared" si="1"/>
        <v>-20</v>
      </c>
      <c r="I10">
        <f t="shared" si="2"/>
        <v>0.64267762163649023</v>
      </c>
      <c r="J10">
        <f t="shared" si="3"/>
        <v>-12.853552432729805</v>
      </c>
      <c r="K10">
        <f t="shared" si="4"/>
        <v>400</v>
      </c>
    </row>
    <row r="11" spans="2:11">
      <c r="B11" s="1">
        <v>1840</v>
      </c>
      <c r="C11" s="1">
        <v>50</v>
      </c>
      <c r="D11" s="7">
        <v>17069453</v>
      </c>
      <c r="E11">
        <f t="shared" si="0"/>
        <v>2.3567798889153653</v>
      </c>
      <c r="H11">
        <f t="shared" si="1"/>
        <v>-10</v>
      </c>
      <c r="I11">
        <f t="shared" si="2"/>
        <v>0.33691834362047146</v>
      </c>
      <c r="J11">
        <f t="shared" si="3"/>
        <v>-3.3691834362047146</v>
      </c>
      <c r="K11">
        <f t="shared" si="4"/>
        <v>100</v>
      </c>
    </row>
    <row r="12" spans="2:11">
      <c r="B12" s="1">
        <v>1850</v>
      </c>
      <c r="C12" s="1">
        <v>60</v>
      </c>
      <c r="D12" s="7">
        <v>23191876</v>
      </c>
      <c r="E12">
        <f t="shared" si="0"/>
        <v>2.0157021420213024</v>
      </c>
      <c r="F12" s="8"/>
      <c r="H12">
        <f t="shared" si="1"/>
        <v>0</v>
      </c>
      <c r="I12">
        <f t="shared" si="2"/>
        <v>-4.1594032735914332E-3</v>
      </c>
      <c r="J12">
        <f t="shared" si="3"/>
        <v>0</v>
      </c>
      <c r="K12">
        <f t="shared" si="4"/>
        <v>0</v>
      </c>
    </row>
    <row r="13" spans="2:11">
      <c r="B13" s="1">
        <v>1860</v>
      </c>
      <c r="C13" s="1">
        <v>70</v>
      </c>
      <c r="D13" s="7">
        <v>31443321</v>
      </c>
      <c r="E13">
        <f t="shared" si="0"/>
        <v>1.6627565487387101</v>
      </c>
      <c r="H13">
        <f t="shared" si="1"/>
        <v>10</v>
      </c>
      <c r="I13">
        <f t="shared" si="2"/>
        <v>-0.35710499655618366</v>
      </c>
      <c r="J13">
        <f t="shared" si="3"/>
        <v>-3.5710499655618366</v>
      </c>
      <c r="K13">
        <f t="shared" si="4"/>
        <v>100</v>
      </c>
    </row>
    <row r="14" spans="2:11">
      <c r="B14" s="1">
        <v>1870</v>
      </c>
      <c r="C14" s="1">
        <v>80</v>
      </c>
      <c r="D14" s="7">
        <v>38558371</v>
      </c>
      <c r="E14">
        <f t="shared" si="0"/>
        <v>1.4149156784709798</v>
      </c>
      <c r="H14">
        <f t="shared" si="1"/>
        <v>20</v>
      </c>
      <c r="I14">
        <f t="shared" si="2"/>
        <v>-0.60494586682391405</v>
      </c>
      <c r="J14">
        <f t="shared" si="3"/>
        <v>-12.09891733647828</v>
      </c>
      <c r="K14">
        <f t="shared" si="4"/>
        <v>400</v>
      </c>
    </row>
    <row r="15" spans="2:11">
      <c r="B15" s="1">
        <v>1880</v>
      </c>
      <c r="C15" s="1">
        <v>90</v>
      </c>
      <c r="D15" s="7">
        <v>50189209</v>
      </c>
      <c r="E15">
        <f t="shared" si="0"/>
        <v>1.0751819910130995</v>
      </c>
      <c r="H15">
        <f t="shared" si="1"/>
        <v>30</v>
      </c>
      <c r="I15">
        <f t="shared" si="2"/>
        <v>-0.94467955428179429</v>
      </c>
      <c r="J15">
        <f t="shared" si="3"/>
        <v>-28.340386628453828</v>
      </c>
      <c r="K15">
        <f t="shared" si="4"/>
        <v>900</v>
      </c>
    </row>
    <row r="16" spans="2:11">
      <c r="B16" s="1">
        <v>1890</v>
      </c>
      <c r="C16" s="1">
        <v>100</v>
      </c>
      <c r="D16" s="7">
        <v>62979766</v>
      </c>
      <c r="E16">
        <f t="shared" si="0"/>
        <v>0.7571898828883965</v>
      </c>
      <c r="H16">
        <f t="shared" si="1"/>
        <v>40</v>
      </c>
      <c r="I16">
        <f t="shared" si="2"/>
        <v>-1.2626716624064973</v>
      </c>
      <c r="J16">
        <f t="shared" si="3"/>
        <v>-50.506866496259889</v>
      </c>
      <c r="K16">
        <f t="shared" si="4"/>
        <v>1600</v>
      </c>
    </row>
    <row r="17" spans="2:12">
      <c r="B17" s="1">
        <v>1900</v>
      </c>
      <c r="C17" s="1">
        <v>110</v>
      </c>
      <c r="D17" s="7">
        <v>76212168</v>
      </c>
      <c r="E17">
        <f t="shared" si="0"/>
        <v>0.46274724684437435</v>
      </c>
      <c r="H17">
        <f t="shared" si="1"/>
        <v>50</v>
      </c>
      <c r="I17">
        <f t="shared" si="2"/>
        <v>-1.5571142984505195</v>
      </c>
      <c r="J17">
        <f t="shared" si="3"/>
        <v>-77.855714922525976</v>
      </c>
      <c r="K17">
        <f t="shared" si="4"/>
        <v>2500</v>
      </c>
    </row>
    <row r="18" spans="2:12">
      <c r="B18" s="1">
        <v>1910</v>
      </c>
      <c r="C18" s="1">
        <v>120</v>
      </c>
      <c r="D18" s="7">
        <v>92228496</v>
      </c>
      <c r="E18">
        <f t="shared" si="0"/>
        <v>0.13008639819072132</v>
      </c>
      <c r="H18">
        <f t="shared" si="1"/>
        <v>60</v>
      </c>
      <c r="I18">
        <f t="shared" si="2"/>
        <v>-1.8897751471041726</v>
      </c>
      <c r="J18">
        <f t="shared" si="3"/>
        <v>-113.38650882625035</v>
      </c>
      <c r="K18">
        <f t="shared" si="4"/>
        <v>3600</v>
      </c>
      <c r="L18" s="49" t="s">
        <v>14</v>
      </c>
    </row>
    <row r="19" spans="2:12">
      <c r="H19">
        <f>SUM(H6:H18)</f>
        <v>0</v>
      </c>
      <c r="I19">
        <f>SUM(I6:I18)</f>
        <v>3.3306690738754696E-15</v>
      </c>
      <c r="J19">
        <f>SUM(J6:J18)</f>
        <v>-571.33213929211502</v>
      </c>
      <c r="K19">
        <f>SUM(K6:K18)</f>
        <v>18200</v>
      </c>
      <c r="L19" s="46">
        <f>J19/K19</f>
        <v>-3.1391875785281048E-2</v>
      </c>
    </row>
    <row r="21" spans="2:12">
      <c r="L21" s="8"/>
    </row>
    <row r="27" spans="2:12">
      <c r="C27" s="3"/>
    </row>
    <row r="28" spans="2:12">
      <c r="B28" s="1"/>
      <c r="C28" s="2"/>
      <c r="D28" s="1"/>
    </row>
    <row r="29" spans="2:12">
      <c r="B29" s="1"/>
      <c r="C29" s="1"/>
      <c r="D29" s="7"/>
    </row>
    <row r="30" spans="2:12">
      <c r="B30" s="1"/>
      <c r="C30" s="1"/>
      <c r="D30" s="7"/>
    </row>
    <row r="31" spans="2:12">
      <c r="B31" s="1"/>
      <c r="C31" s="1"/>
      <c r="D31" s="7"/>
    </row>
    <row r="32" spans="2:12">
      <c r="B32" s="1"/>
      <c r="C32" s="1"/>
      <c r="D32" s="7"/>
    </row>
    <row r="33" spans="2:4">
      <c r="B33" s="1"/>
      <c r="C33" s="1"/>
      <c r="D33" s="7"/>
    </row>
    <row r="34" spans="2:4">
      <c r="B34" s="1"/>
      <c r="C34" s="1"/>
      <c r="D34" s="7"/>
    </row>
    <row r="35" spans="2:4">
      <c r="B35" s="1"/>
      <c r="C35" s="1"/>
      <c r="D35" s="7"/>
    </row>
    <row r="36" spans="2:4">
      <c r="B36" s="1"/>
      <c r="C36" s="1"/>
      <c r="D36" s="7"/>
    </row>
    <row r="37" spans="2:4">
      <c r="B37" s="1"/>
      <c r="C37" s="1"/>
      <c r="D37" s="7"/>
    </row>
    <row r="38" spans="2:4">
      <c r="B38" s="1"/>
      <c r="C38" s="1"/>
      <c r="D38" s="7"/>
    </row>
    <row r="39" spans="2:4">
      <c r="B39" s="1"/>
      <c r="C39" s="1"/>
      <c r="D39" s="7"/>
    </row>
    <row r="40" spans="2:4">
      <c r="B40" s="1"/>
      <c r="C40" s="1"/>
      <c r="D40" s="7"/>
    </row>
    <row r="41" spans="2:4">
      <c r="B41" s="1"/>
      <c r="C41" s="1"/>
      <c r="D41" s="7"/>
    </row>
    <row r="42" spans="2:4">
      <c r="B42" s="1"/>
      <c r="C42" s="1"/>
      <c r="D42" s="7"/>
    </row>
    <row r="43" spans="2:4">
      <c r="B43" s="1"/>
      <c r="C43" s="1"/>
      <c r="D43" s="7"/>
    </row>
    <row r="44" spans="2:4">
      <c r="B44" s="1"/>
      <c r="C44" s="1"/>
      <c r="D44" s="7"/>
    </row>
    <row r="45" spans="2:4">
      <c r="B45" s="1"/>
      <c r="C45" s="1"/>
      <c r="D45" s="7"/>
    </row>
    <row r="46" spans="2:4">
      <c r="B46" s="1"/>
      <c r="C46" s="1"/>
      <c r="D46" s="7"/>
    </row>
    <row r="47" spans="2:4">
      <c r="B47" s="1"/>
      <c r="C47" s="1"/>
      <c r="D47" s="7"/>
    </row>
    <row r="48" spans="2:4">
      <c r="B48" s="1"/>
      <c r="C48" s="1"/>
      <c r="D48" s="7"/>
    </row>
    <row r="49" spans="2:4">
      <c r="B49" s="1"/>
      <c r="C49" s="1"/>
      <c r="D49" s="7"/>
    </row>
    <row r="50" spans="2:4">
      <c r="B50" s="1"/>
      <c r="C50" s="1"/>
      <c r="D50" s="7"/>
    </row>
    <row r="51" spans="2:4">
      <c r="B51" s="1"/>
      <c r="C51" s="1"/>
      <c r="D51" s="7"/>
    </row>
    <row r="52" spans="2:4">
      <c r="B52" s="1"/>
      <c r="C52" s="1"/>
      <c r="D52" s="7"/>
    </row>
    <row r="53" spans="2:4">
      <c r="B53" s="1"/>
      <c r="C53" s="1"/>
      <c r="D53" s="7"/>
    </row>
    <row r="54" spans="2:4">
      <c r="B54" s="1"/>
      <c r="C54" s="1"/>
      <c r="D54" s="7"/>
    </row>
    <row r="55" spans="2:4">
      <c r="B55" s="1"/>
      <c r="C55" s="1"/>
      <c r="D55" s="7"/>
    </row>
    <row r="56" spans="2:4">
      <c r="B56" s="1"/>
      <c r="C56" s="1"/>
      <c r="D56" s="7"/>
    </row>
  </sheetData>
  <mergeCells count="1">
    <mergeCell ref="H4:K4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65DD-4D0D-4501-A28C-6D79A3330585}">
  <dimension ref="B1:N68"/>
  <sheetViews>
    <sheetView tabSelected="1" topLeftCell="G4" zoomScale="64" zoomScaleNormal="108" workbookViewId="0">
      <selection activeCell="X10" sqref="X10"/>
    </sheetView>
  </sheetViews>
  <sheetFormatPr defaultColWidth="9.140625" defaultRowHeight="14.45"/>
  <cols>
    <col min="2" max="2" width="9.42578125" bestFit="1" customWidth="1"/>
    <col min="3" max="3" width="17.85546875" customWidth="1"/>
    <col min="4" max="4" width="19.5703125" customWidth="1"/>
    <col min="5" max="5" width="16.28515625" customWidth="1"/>
    <col min="7" max="7" width="10.5703125" bestFit="1" customWidth="1"/>
    <col min="8" max="8" width="13.85546875" bestFit="1" customWidth="1"/>
    <col min="9" max="9" width="12.5703125" bestFit="1" customWidth="1"/>
    <col min="10" max="10" width="11.85546875" bestFit="1" customWidth="1"/>
    <col min="11" max="11" width="11.85546875" customWidth="1"/>
    <col min="12" max="12" width="9.28515625" bestFit="1" customWidth="1"/>
    <col min="13" max="13" width="9.42578125" bestFit="1" customWidth="1"/>
    <col min="14" max="14" width="9.28515625" bestFit="1" customWidth="1"/>
  </cols>
  <sheetData>
    <row r="1" spans="2:13">
      <c r="B1" s="1"/>
      <c r="C1" s="1"/>
    </row>
    <row r="2" spans="2:13">
      <c r="B2" s="2" t="s">
        <v>7</v>
      </c>
      <c r="C2" s="50">
        <v>197270000</v>
      </c>
    </row>
    <row r="3" spans="2:13">
      <c r="B3" s="2" t="s">
        <v>15</v>
      </c>
      <c r="C3" s="3">
        <v>3.896014956526749</v>
      </c>
    </row>
    <row r="4" spans="2:13">
      <c r="B4" s="2" t="s">
        <v>14</v>
      </c>
      <c r="C4" s="3">
        <v>-3.1391875785281048E-2</v>
      </c>
    </row>
    <row r="5" spans="2:13">
      <c r="B5" s="59"/>
      <c r="C5" s="60"/>
      <c r="D5" s="60"/>
    </row>
    <row r="6" spans="2:13">
      <c r="B6" s="59" t="s">
        <v>16</v>
      </c>
      <c r="C6" s="60"/>
      <c r="D6" s="60"/>
      <c r="I6" s="59"/>
      <c r="J6" s="59"/>
      <c r="K6" s="59"/>
      <c r="L6" s="59"/>
      <c r="M6" s="59"/>
    </row>
    <row r="7" spans="2:13">
      <c r="B7" s="3" t="s">
        <v>1</v>
      </c>
      <c r="C7" s="2" t="s">
        <v>17</v>
      </c>
      <c r="D7" s="2" t="s">
        <v>18</v>
      </c>
      <c r="G7" s="2" t="s">
        <v>11</v>
      </c>
      <c r="H7" s="2"/>
      <c r="I7" s="2"/>
      <c r="J7" s="2"/>
      <c r="L7" s="2"/>
      <c r="M7" s="12"/>
    </row>
    <row r="8" spans="2:13">
      <c r="B8" s="54">
        <v>1790</v>
      </c>
      <c r="C8" s="52">
        <f>C$2/(1+EXP(C$3+C$4*G8))</f>
        <v>3929213.9999999995</v>
      </c>
      <c r="D8" s="52">
        <v>3929214</v>
      </c>
      <c r="G8" s="51">
        <v>0</v>
      </c>
      <c r="H8" s="11"/>
      <c r="J8" s="12"/>
      <c r="M8" s="12"/>
    </row>
    <row r="9" spans="2:13">
      <c r="B9" s="54">
        <v>1800</v>
      </c>
      <c r="C9" s="52">
        <f>C$2/(1+EXP(C$3+C$4*G9))</f>
        <v>5339007.0865799719</v>
      </c>
      <c r="D9" s="52">
        <v>5308483</v>
      </c>
      <c r="G9" s="51">
        <v>10</v>
      </c>
      <c r="H9" s="11"/>
      <c r="J9" s="12"/>
    </row>
    <row r="10" spans="2:13">
      <c r="B10" s="54">
        <v>1810</v>
      </c>
      <c r="C10" s="52">
        <f>C$2/(1+EXP(C$3+C$4*G10))</f>
        <v>7235700.2373977425</v>
      </c>
      <c r="D10" s="52">
        <v>7239881</v>
      </c>
      <c r="G10" s="51">
        <v>20</v>
      </c>
      <c r="H10" s="11"/>
      <c r="J10" s="12"/>
    </row>
    <row r="11" spans="2:13">
      <c r="B11" s="54">
        <v>1820</v>
      </c>
      <c r="C11" s="52">
        <f>C$2/(1+EXP(C$3+C$4*G11))</f>
        <v>9771891.7248517256</v>
      </c>
      <c r="D11" s="52">
        <v>9638453</v>
      </c>
      <c r="G11" s="51">
        <v>30</v>
      </c>
      <c r="H11" s="11"/>
      <c r="J11" s="12"/>
    </row>
    <row r="12" spans="2:13">
      <c r="B12" s="54">
        <v>1830</v>
      </c>
      <c r="C12" s="52">
        <f>C$2/(1+EXP(C$3+C$4*G12))</f>
        <v>13135598.762404067</v>
      </c>
      <c r="D12" s="52">
        <v>12866020</v>
      </c>
      <c r="G12" s="51">
        <v>40</v>
      </c>
      <c r="H12" s="11"/>
      <c r="J12" s="12"/>
    </row>
    <row r="13" spans="2:13">
      <c r="B13" s="54">
        <v>1840</v>
      </c>
      <c r="C13" s="52">
        <f>C$2/(1+EXP(C$3+C$4*G13))</f>
        <v>17548800.359154098</v>
      </c>
      <c r="D13" s="52">
        <v>17069453</v>
      </c>
      <c r="G13" s="51">
        <v>50</v>
      </c>
      <c r="H13" s="11"/>
      <c r="J13" s="12"/>
    </row>
    <row r="14" spans="2:13">
      <c r="B14" s="54">
        <v>1850</v>
      </c>
      <c r="C14" s="52">
        <f>C$2/(1+EXP(C$3+C$4*G14))</f>
        <v>23257439.800246429</v>
      </c>
      <c r="D14" s="52">
        <v>23191876</v>
      </c>
      <c r="G14" s="51">
        <v>60</v>
      </c>
      <c r="H14" s="11"/>
      <c r="J14" s="12"/>
    </row>
    <row r="15" spans="2:13">
      <c r="B15" s="54">
        <v>1860</v>
      </c>
      <c r="C15" s="52">
        <f>C$2/(1+EXP(C$3+C$4*G15))</f>
        <v>30507872.34959786</v>
      </c>
      <c r="D15" s="52">
        <v>31443321</v>
      </c>
      <c r="G15" s="51">
        <v>70</v>
      </c>
      <c r="H15" s="11"/>
      <c r="J15" s="12"/>
    </row>
    <row r="16" spans="2:13">
      <c r="B16" s="54">
        <v>1870</v>
      </c>
      <c r="C16" s="52">
        <f>C$2/(1+EXP(C$3+C$4*G16))</f>
        <v>39505456.348480403</v>
      </c>
      <c r="D16" s="52">
        <v>38558371</v>
      </c>
      <c r="G16" s="51">
        <v>80</v>
      </c>
      <c r="H16" s="11"/>
      <c r="J16" s="12"/>
    </row>
    <row r="17" spans="2:14">
      <c r="B17" s="54">
        <v>1880</v>
      </c>
      <c r="C17" s="52">
        <f>C$2/(1+EXP(C$3+C$4*G17))</f>
        <v>50355380.013859048</v>
      </c>
      <c r="D17" s="52">
        <v>50189209</v>
      </c>
      <c r="G17" s="51">
        <v>90</v>
      </c>
      <c r="H17" s="11"/>
      <c r="J17" s="12"/>
    </row>
    <row r="18" spans="2:14">
      <c r="B18" s="54">
        <v>1890</v>
      </c>
      <c r="C18" s="52">
        <f>C$2/(1+EXP(C$3+C$4*G18))</f>
        <v>62995308.710184157</v>
      </c>
      <c r="D18" s="52">
        <v>62979766</v>
      </c>
      <c r="G18" s="51">
        <v>100</v>
      </c>
      <c r="H18" s="11"/>
      <c r="J18" s="12"/>
    </row>
    <row r="19" spans="2:14">
      <c r="B19" s="54">
        <v>1900</v>
      </c>
      <c r="C19" s="52">
        <f>C$2/(1+EXP(C$3+C$4*G19))</f>
        <v>77142063.01747036</v>
      </c>
      <c r="D19" s="52">
        <v>76212168</v>
      </c>
      <c r="G19" s="51">
        <v>110</v>
      </c>
      <c r="H19" s="11"/>
      <c r="J19" s="12"/>
    </row>
    <row r="20" spans="2:14">
      <c r="B20" s="54">
        <v>1910</v>
      </c>
      <c r="C20" s="52">
        <f>C$2/(1+EXP(C$3+C$4*G20))</f>
        <v>92282348.18011032</v>
      </c>
      <c r="D20" s="52">
        <v>92228496</v>
      </c>
      <c r="G20" s="51">
        <v>120</v>
      </c>
      <c r="H20" s="11"/>
      <c r="J20" s="12"/>
      <c r="N20" s="9"/>
    </row>
    <row r="21" spans="2:14">
      <c r="B21" s="54">
        <v>1920</v>
      </c>
      <c r="C21" s="52">
        <f>C$2/(1+EXP(C$3+C$4*G21))</f>
        <v>107729327.7212922</v>
      </c>
      <c r="D21" s="52">
        <v>106021537</v>
      </c>
      <c r="G21" s="51">
        <v>130</v>
      </c>
      <c r="H21" s="11"/>
      <c r="J21" s="12"/>
      <c r="N21" s="10"/>
    </row>
    <row r="22" spans="2:14">
      <c r="B22" s="54">
        <v>1930</v>
      </c>
      <c r="C22" s="52">
        <f>C$2/(1+EXP(C$3+C$4*G22))</f>
        <v>122739122.88685867</v>
      </c>
      <c r="D22" s="52">
        <v>123202624</v>
      </c>
      <c r="G22" s="51">
        <v>140</v>
      </c>
      <c r="H22" s="11"/>
      <c r="J22" s="12"/>
    </row>
    <row r="23" spans="2:14">
      <c r="B23" s="54">
        <v>1940</v>
      </c>
      <c r="C23" s="52">
        <f>C$2/(1+EXP(C$3+C$4*G23))</f>
        <v>136648671.81304938</v>
      </c>
      <c r="D23" s="52">
        <v>132164569</v>
      </c>
      <c r="G23" s="51">
        <v>150</v>
      </c>
      <c r="H23" s="11"/>
      <c r="J23" s="12"/>
    </row>
    <row r="24" spans="2:14">
      <c r="B24" s="54">
        <v>1950</v>
      </c>
      <c r="C24" s="52">
        <f>C$2/(1+EXP(C$3+C$4*G24))</f>
        <v>148983559.29732096</v>
      </c>
      <c r="D24" s="52">
        <v>151325798</v>
      </c>
      <c r="G24" s="51">
        <v>160</v>
      </c>
      <c r="H24" s="11"/>
      <c r="J24" s="12"/>
    </row>
    <row r="25" spans="2:14">
      <c r="B25" s="54">
        <v>1960</v>
      </c>
      <c r="C25" s="52">
        <f>C$2/(1+EXP(C$3+C$4*G25))</f>
        <v>159502294.64892316</v>
      </c>
      <c r="D25" s="52">
        <v>179323175</v>
      </c>
      <c r="G25" s="51">
        <v>170</v>
      </c>
      <c r="H25" s="11"/>
      <c r="J25" s="12"/>
    </row>
    <row r="26" spans="2:14">
      <c r="B26" s="54">
        <v>1970</v>
      </c>
      <c r="C26" s="52">
        <f>C$2/(1+EXP(C$3+C$4*G26))</f>
        <v>168177081.45158452</v>
      </c>
      <c r="D26" s="52">
        <v>203302031</v>
      </c>
      <c r="G26" s="51">
        <v>180</v>
      </c>
      <c r="H26" s="11"/>
      <c r="J26" s="12"/>
    </row>
    <row r="27" spans="2:14">
      <c r="B27" s="54">
        <v>1980</v>
      </c>
      <c r="C27" s="52">
        <f>C$2/(1+EXP(C$3+C$4*G27))</f>
        <v>175135872.57694671</v>
      </c>
      <c r="D27" s="52">
        <v>226545805</v>
      </c>
      <c r="G27" s="51">
        <v>190</v>
      </c>
      <c r="H27" s="11"/>
      <c r="J27" s="12"/>
    </row>
    <row r="28" spans="2:14">
      <c r="B28" s="54">
        <v>1990</v>
      </c>
      <c r="C28" s="52">
        <f>C$2/(1+EXP(C$3+C$4*G28))</f>
        <v>180595211.23068371</v>
      </c>
      <c r="D28" s="52">
        <v>248709873</v>
      </c>
      <c r="G28" s="51">
        <v>200</v>
      </c>
      <c r="H28" s="11"/>
      <c r="J28" s="12"/>
    </row>
    <row r="29" spans="2:14">
      <c r="B29" s="54">
        <v>2000</v>
      </c>
      <c r="C29" s="52">
        <f>C$2/(1+EXP(C$3+C$4*G29))</f>
        <v>184803860.94381759</v>
      </c>
      <c r="D29" s="52">
        <v>281421906</v>
      </c>
      <c r="G29" s="53">
        <v>210</v>
      </c>
      <c r="H29" s="11"/>
      <c r="J29" s="12"/>
    </row>
    <row r="30" spans="2:14">
      <c r="B30" s="54">
        <v>2010</v>
      </c>
      <c r="C30" s="52">
        <f>C$2/(1+EXP(C$3+C$4*G30))</f>
        <v>188004761.74763182</v>
      </c>
      <c r="D30" s="52">
        <v>308745538</v>
      </c>
      <c r="G30" s="51">
        <v>220</v>
      </c>
      <c r="H30" s="11"/>
      <c r="J30" s="12"/>
    </row>
    <row r="31" spans="2:14">
      <c r="B31" s="54">
        <v>2020</v>
      </c>
      <c r="C31" s="52">
        <f>C$2/(1+EXP(C$3+C$4*G31))</f>
        <v>190414264.74583375</v>
      </c>
      <c r="D31" s="52">
        <v>331449281</v>
      </c>
      <c r="G31" s="51">
        <v>230</v>
      </c>
      <c r="H31" s="11"/>
      <c r="J31" s="12"/>
    </row>
    <row r="43" spans="2:6" ht="15">
      <c r="B43" s="59"/>
      <c r="C43" s="60"/>
      <c r="D43" s="60"/>
    </row>
    <row r="44" spans="2:6" ht="15">
      <c r="B44" s="3"/>
      <c r="C44" s="2"/>
      <c r="D44" s="2"/>
    </row>
    <row r="45" spans="2:6" ht="15">
      <c r="B45" s="54"/>
      <c r="C45" s="52"/>
      <c r="D45" s="52"/>
      <c r="F45" s="45"/>
    </row>
    <row r="46" spans="2:6" ht="15">
      <c r="B46" s="54"/>
      <c r="C46" s="52"/>
      <c r="D46" s="52"/>
      <c r="F46" s="45"/>
    </row>
    <row r="47" spans="2:6" ht="15">
      <c r="B47" s="54"/>
      <c r="C47" s="52"/>
      <c r="D47" s="52"/>
      <c r="F47" s="45"/>
    </row>
    <row r="48" spans="2:6" ht="15">
      <c r="B48" s="54"/>
      <c r="C48" s="52"/>
      <c r="D48" s="52"/>
      <c r="F48" s="45"/>
    </row>
    <row r="49" spans="2:7" ht="15">
      <c r="B49" s="54"/>
      <c r="C49" s="52"/>
      <c r="D49" s="52"/>
      <c r="F49" s="45"/>
    </row>
    <row r="50" spans="2:7" ht="15">
      <c r="B50" s="54"/>
      <c r="C50" s="52"/>
      <c r="D50" s="52"/>
      <c r="F50" s="45"/>
    </row>
    <row r="51" spans="2:7" ht="15">
      <c r="B51" s="54"/>
      <c r="C51" s="52"/>
      <c r="D51" s="52"/>
      <c r="F51" s="45"/>
    </row>
    <row r="52" spans="2:7" ht="15">
      <c r="B52" s="54"/>
      <c r="C52" s="52"/>
      <c r="D52" s="52"/>
      <c r="F52" s="45"/>
    </row>
    <row r="53" spans="2:7" ht="15">
      <c r="B53" s="54"/>
      <c r="C53" s="52"/>
      <c r="D53" s="52"/>
      <c r="F53" s="45"/>
    </row>
    <row r="54" spans="2:7" ht="15">
      <c r="B54" s="54"/>
      <c r="C54" s="52"/>
      <c r="D54" s="52"/>
      <c r="F54" s="45"/>
    </row>
    <row r="55" spans="2:7" ht="15">
      <c r="B55" s="54"/>
      <c r="C55" s="52"/>
      <c r="D55" s="52"/>
      <c r="F55" s="45"/>
    </row>
    <row r="56" spans="2:7" ht="15">
      <c r="B56" s="54"/>
      <c r="C56" s="52"/>
      <c r="D56" s="52"/>
      <c r="F56" s="45"/>
    </row>
    <row r="57" spans="2:7" ht="15">
      <c r="B57" s="54"/>
      <c r="C57" s="52"/>
      <c r="D57" s="52"/>
      <c r="F57" s="45"/>
    </row>
    <row r="58" spans="2:7" ht="15">
      <c r="B58" s="54"/>
      <c r="C58" s="52"/>
      <c r="D58" s="52"/>
      <c r="E58" s="45"/>
    </row>
    <row r="59" spans="2:7" ht="15">
      <c r="B59" s="54"/>
      <c r="C59" s="52"/>
      <c r="D59" s="52"/>
      <c r="E59" s="45"/>
    </row>
    <row r="60" spans="2:7" ht="15">
      <c r="B60" s="54"/>
      <c r="C60" s="52"/>
      <c r="D60" s="52"/>
      <c r="E60" s="45"/>
    </row>
    <row r="61" spans="2:7" ht="15">
      <c r="B61" s="54"/>
      <c r="C61" s="52"/>
      <c r="D61" s="52"/>
      <c r="E61" s="45"/>
    </row>
    <row r="62" spans="2:7" ht="15">
      <c r="B62" s="54"/>
      <c r="C62" s="52"/>
      <c r="D62" s="52"/>
      <c r="G62" s="45"/>
    </row>
    <row r="63" spans="2:7" ht="15">
      <c r="B63" s="54"/>
      <c r="C63" s="52"/>
      <c r="D63" s="52"/>
      <c r="G63" s="45"/>
    </row>
    <row r="64" spans="2:7" ht="15">
      <c r="B64" s="54"/>
      <c r="C64" s="52"/>
      <c r="D64" s="52"/>
      <c r="G64" s="45"/>
    </row>
    <row r="65" spans="2:7" ht="15">
      <c r="B65" s="54"/>
      <c r="C65" s="52"/>
      <c r="D65" s="52"/>
      <c r="G65" s="45"/>
    </row>
    <row r="66" spans="2:7" ht="15">
      <c r="B66" s="54"/>
      <c r="C66" s="52"/>
      <c r="D66" s="52"/>
      <c r="G66" s="45"/>
    </row>
    <row r="67" spans="2:7" ht="15">
      <c r="B67" s="54"/>
      <c r="C67" s="52"/>
      <c r="D67" s="52"/>
      <c r="G67" s="45"/>
    </row>
    <row r="68" spans="2:7" ht="15">
      <c r="B68" s="54"/>
      <c r="C68" s="52"/>
      <c r="D68" s="52"/>
      <c r="G68" s="45"/>
    </row>
  </sheetData>
  <mergeCells count="4">
    <mergeCell ref="I6:M6"/>
    <mergeCell ref="B6:D6"/>
    <mergeCell ref="B5:D5"/>
    <mergeCell ref="B43:D4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0E561-6CD1-4A45-B94A-A56EE5B0BC7C}">
  <dimension ref="B1:R67"/>
  <sheetViews>
    <sheetView topLeftCell="I35" zoomScale="71" zoomScaleNormal="90" workbookViewId="0">
      <selection activeCell="R66" sqref="R66"/>
    </sheetView>
  </sheetViews>
  <sheetFormatPr defaultColWidth="9.140625" defaultRowHeight="14.45"/>
  <cols>
    <col min="2" max="2" width="9.42578125" bestFit="1" customWidth="1"/>
    <col min="3" max="3" width="17.85546875" customWidth="1"/>
    <col min="4" max="4" width="19.5703125" customWidth="1"/>
    <col min="5" max="5" width="16.28515625" customWidth="1"/>
    <col min="6" max="6" width="2.42578125" customWidth="1"/>
    <col min="7" max="7" width="10.5703125" bestFit="1" customWidth="1"/>
    <col min="8" max="8" width="13.85546875" bestFit="1" customWidth="1"/>
    <col min="9" max="9" width="12.7109375" bestFit="1" customWidth="1"/>
    <col min="10" max="10" width="12" bestFit="1" customWidth="1"/>
    <col min="11" max="11" width="17.42578125" customWidth="1"/>
    <col min="12" max="12" width="19" bestFit="1" customWidth="1"/>
    <col min="13" max="15" width="20.7109375" bestFit="1" customWidth="1"/>
    <col min="18" max="18" width="24.42578125" bestFit="1" customWidth="1"/>
  </cols>
  <sheetData>
    <row r="1" spans="2:18">
      <c r="B1" s="1"/>
      <c r="C1" s="1" t="s">
        <v>19</v>
      </c>
    </row>
    <row r="2" spans="2:18">
      <c r="B2" s="2" t="s">
        <v>7</v>
      </c>
      <c r="C2" s="3">
        <v>197270000</v>
      </c>
    </row>
    <row r="3" spans="2:18">
      <c r="B3" s="2" t="s">
        <v>15</v>
      </c>
      <c r="C3" s="3">
        <v>3.896014956526749</v>
      </c>
    </row>
    <row r="4" spans="2:18">
      <c r="B4" s="2" t="s">
        <v>14</v>
      </c>
      <c r="C4" s="3">
        <v>-3.1391875785281048E-2</v>
      </c>
    </row>
    <row r="5" spans="2:18">
      <c r="B5" s="2"/>
      <c r="C5" s="3"/>
    </row>
    <row r="6" spans="2:18">
      <c r="C6" s="3" t="s">
        <v>20</v>
      </c>
      <c r="I6" s="10"/>
      <c r="J6" s="10"/>
      <c r="K6" s="62" t="s">
        <v>21</v>
      </c>
      <c r="L6" s="62"/>
      <c r="M6" s="62"/>
      <c r="N6" s="62"/>
      <c r="O6" s="62"/>
      <c r="Q6" s="59" t="s">
        <v>22</v>
      </c>
      <c r="R6" s="59"/>
    </row>
    <row r="7" spans="2:18">
      <c r="B7" s="18" t="s">
        <v>1</v>
      </c>
      <c r="C7" s="17" t="s">
        <v>11</v>
      </c>
      <c r="D7" s="17" t="s">
        <v>23</v>
      </c>
      <c r="E7" s="17" t="s">
        <v>18</v>
      </c>
      <c r="F7" s="16"/>
      <c r="G7" s="19" t="s">
        <v>24</v>
      </c>
      <c r="H7" s="19" t="s">
        <v>25</v>
      </c>
      <c r="I7" s="19" t="s">
        <v>26</v>
      </c>
      <c r="J7" s="19" t="s">
        <v>27</v>
      </c>
      <c r="K7" s="20" t="s">
        <v>28</v>
      </c>
      <c r="L7" s="20" t="s">
        <v>29</v>
      </c>
      <c r="M7" s="20" t="s">
        <v>30</v>
      </c>
      <c r="N7" s="20" t="s">
        <v>31</v>
      </c>
      <c r="O7" s="20" t="s">
        <v>32</v>
      </c>
      <c r="Q7" s="56" t="s">
        <v>33</v>
      </c>
      <c r="R7" s="57">
        <f>AVERAGE(H8:H31)</f>
        <v>22745521.809211906</v>
      </c>
    </row>
    <row r="8" spans="2:18">
      <c r="B8" s="42">
        <v>1790</v>
      </c>
      <c r="C8" s="38">
        <v>0</v>
      </c>
      <c r="D8" s="34">
        <f>C$2/(1+EXP(C$3+C$4*C8))</f>
        <v>3929213.9999999995</v>
      </c>
      <c r="E8" s="34">
        <v>3929214</v>
      </c>
      <c r="F8" s="16"/>
      <c r="G8" s="21">
        <f>D8-E8</f>
        <v>0</v>
      </c>
      <c r="H8" s="22">
        <f>ABS(E8-D8)</f>
        <v>4.6566128730773926E-10</v>
      </c>
      <c r="I8" s="23">
        <f>(D8-E8)/E8</f>
        <v>-1.1851257969348048E-16</v>
      </c>
      <c r="J8" s="22">
        <f>H8^2</f>
        <v>2.1684043449710089E-19</v>
      </c>
      <c r="K8" s="24">
        <f>(E8-R$10)^2</f>
        <v>1.1997238139907756E+16</v>
      </c>
      <c r="L8" s="24">
        <f>(E8-R$17)^2</f>
        <v>853426015958313.75</v>
      </c>
      <c r="M8" s="24">
        <f>(E8-R$24)^2</f>
        <v>4.1801318529082248E+16</v>
      </c>
      <c r="N8" s="24">
        <f>(E8-R$31)^2</f>
        <v>1.5437917873338724E+16</v>
      </c>
      <c r="O8" s="24">
        <f>(E8-R$38)^2</f>
        <v>6.2642446142682816E+16</v>
      </c>
      <c r="Q8" s="58" t="s">
        <v>34</v>
      </c>
      <c r="R8" s="57">
        <f>AVERAGE(J8:J31)</f>
        <v>2197716366900273.3</v>
      </c>
    </row>
    <row r="9" spans="2:18">
      <c r="B9" s="42">
        <v>1800</v>
      </c>
      <c r="C9" s="38">
        <v>10</v>
      </c>
      <c r="D9" s="34">
        <f t="shared" ref="D9:D31" si="0">C$2/(1+EXP(C$3+C$4*C9))</f>
        <v>5339007.0865799719</v>
      </c>
      <c r="E9" s="34">
        <v>5308483</v>
      </c>
      <c r="F9" s="16"/>
      <c r="G9" s="25">
        <f t="shared" ref="G9:G31" si="1">D9-E9</f>
        <v>30524.086579971947</v>
      </c>
      <c r="H9" s="22">
        <f t="shared" ref="H9:H31" si="2">ABS(E9-D9)</f>
        <v>30524.086579971947</v>
      </c>
      <c r="I9" s="23">
        <f t="shared" ref="I9:I31" si="3">(D9-E9)/E9</f>
        <v>5.7500582708792597E-3</v>
      </c>
      <c r="J9" s="22">
        <f t="shared" ref="J9:J31" si="4">H9^2</f>
        <v>931719861.54162347</v>
      </c>
      <c r="K9" s="24">
        <f t="shared" ref="K9:K31" si="5">(E9-R$10)^2</f>
        <v>1.169699260164674E+16</v>
      </c>
      <c r="L9" s="24">
        <f t="shared" ref="L9:L31" si="6">(E9-R$17)^2</f>
        <v>774741970233151.63</v>
      </c>
      <c r="M9" s="24">
        <f t="shared" ref="M9:M31" si="7">(E9-R$24)^2</f>
        <v>4.1239227590551592E+16</v>
      </c>
      <c r="N9" s="24">
        <f t="shared" ref="N9:N31" si="8">(E9-R$31)^2</f>
        <v>1.50970735152822E+16</v>
      </c>
      <c r="O9" s="24">
        <f t="shared" ref="O9:O31" si="9">(E9-R$38)^2</f>
        <v>6.195392858673836E+16</v>
      </c>
      <c r="Q9" s="58" t="s">
        <v>35</v>
      </c>
      <c r="R9" s="57">
        <f>SQRT(R8)</f>
        <v>46879807.667057179</v>
      </c>
    </row>
    <row r="10" spans="2:18">
      <c r="B10" s="42">
        <v>1810</v>
      </c>
      <c r="C10" s="38">
        <v>20</v>
      </c>
      <c r="D10" s="34">
        <f t="shared" si="0"/>
        <v>7235700.2373977425</v>
      </c>
      <c r="E10" s="34">
        <v>7239881</v>
      </c>
      <c r="F10" s="16"/>
      <c r="G10" s="25">
        <f t="shared" si="1"/>
        <v>-4180.7626022575423</v>
      </c>
      <c r="H10" s="22">
        <f t="shared" si="2"/>
        <v>4180.7626022575423</v>
      </c>
      <c r="I10" s="23">
        <f t="shared" si="3"/>
        <v>-5.7746288954991696E-4</v>
      </c>
      <c r="J10" s="22">
        <f t="shared" si="4"/>
        <v>17478775.936435256</v>
      </c>
      <c r="K10" s="24">
        <f t="shared" si="5"/>
        <v>1.1282951331438486E+16</v>
      </c>
      <c r="L10" s="24">
        <f t="shared" si="6"/>
        <v>670954481963565.38</v>
      </c>
      <c r="M10" s="24">
        <f t="shared" si="7"/>
        <v>4.0458522759870368E+16</v>
      </c>
      <c r="N10" s="24">
        <f t="shared" si="8"/>
        <v>1.462618149344E+16</v>
      </c>
      <c r="O10" s="24">
        <f t="shared" si="9"/>
        <v>6.0996187865291984E+16</v>
      </c>
      <c r="Q10" s="58" t="s">
        <v>36</v>
      </c>
      <c r="R10" s="57">
        <f>AVERAGE(E8:E31)</f>
        <v>113461118.66666667</v>
      </c>
    </row>
    <row r="11" spans="2:18">
      <c r="B11" s="42">
        <v>1820</v>
      </c>
      <c r="C11" s="38">
        <v>30</v>
      </c>
      <c r="D11" s="34">
        <f t="shared" si="0"/>
        <v>9771891.7248517256</v>
      </c>
      <c r="E11" s="34">
        <v>9638453</v>
      </c>
      <c r="F11" s="16"/>
      <c r="G11" s="25">
        <f t="shared" si="1"/>
        <v>133438.72485172562</v>
      </c>
      <c r="H11" s="22">
        <f t="shared" si="2"/>
        <v>133438.72485172562</v>
      </c>
      <c r="I11" s="23">
        <f t="shared" si="3"/>
        <v>1.3844413087009464E-2</v>
      </c>
      <c r="J11" s="22">
        <f t="shared" si="4"/>
        <v>17805893290.054539</v>
      </c>
      <c r="K11" s="24">
        <f t="shared" si="5"/>
        <v>1.0779145906132446E+16</v>
      </c>
      <c r="L11" s="24">
        <f t="shared" si="6"/>
        <v>552448220399122.38</v>
      </c>
      <c r="M11" s="24">
        <f t="shared" si="7"/>
        <v>3.9499363777415168E+16</v>
      </c>
      <c r="N11" s="24">
        <f t="shared" si="8"/>
        <v>1.405177403735204E+16</v>
      </c>
      <c r="O11" s="24">
        <f t="shared" si="9"/>
        <v>5.9817170867769792E+16</v>
      </c>
      <c r="Q11" s="58" t="s">
        <v>37</v>
      </c>
      <c r="R11" s="57">
        <f>1-SUM(J8:J31)/SUM(K8:K31)</f>
        <v>0.7917941798296233</v>
      </c>
    </row>
    <row r="12" spans="2:18">
      <c r="B12" s="42">
        <v>1830</v>
      </c>
      <c r="C12" s="38">
        <v>40</v>
      </c>
      <c r="D12" s="34">
        <f t="shared" si="0"/>
        <v>13135598.762404067</v>
      </c>
      <c r="E12" s="34">
        <v>12866020</v>
      </c>
      <c r="F12" s="16"/>
      <c r="G12" s="25">
        <f t="shared" si="1"/>
        <v>269578.76240406744</v>
      </c>
      <c r="H12" s="22">
        <f t="shared" si="2"/>
        <v>269578.76240406744</v>
      </c>
      <c r="I12" s="23">
        <f t="shared" si="3"/>
        <v>2.0952770351986661E-2</v>
      </c>
      <c r="J12" s="22">
        <f t="shared" si="4"/>
        <v>72672709139.30864</v>
      </c>
      <c r="K12" s="24">
        <f t="shared" si="5"/>
        <v>1.0119373875756402E+16</v>
      </c>
      <c r="L12" s="24">
        <f t="shared" si="6"/>
        <v>411142538341984.56</v>
      </c>
      <c r="M12" s="24">
        <f t="shared" si="7"/>
        <v>3.822685878993496E+16</v>
      </c>
      <c r="N12" s="24">
        <f t="shared" si="8"/>
        <v>1.3296998486262544E+16</v>
      </c>
      <c r="O12" s="24">
        <f t="shared" si="9"/>
        <v>5.824882048806632E+16</v>
      </c>
      <c r="Q12" s="57"/>
      <c r="R12" s="57"/>
    </row>
    <row r="13" spans="2:18">
      <c r="B13" s="42">
        <v>1840</v>
      </c>
      <c r="C13" s="38">
        <v>50</v>
      </c>
      <c r="D13" s="34">
        <f t="shared" si="0"/>
        <v>17548800.359154098</v>
      </c>
      <c r="E13" s="34">
        <v>17069453</v>
      </c>
      <c r="F13" s="16"/>
      <c r="G13" s="25">
        <f t="shared" si="1"/>
        <v>479347.35915409774</v>
      </c>
      <c r="H13" s="22">
        <f t="shared" si="2"/>
        <v>479347.35915409774</v>
      </c>
      <c r="I13" s="23">
        <f t="shared" si="3"/>
        <v>2.8082174581347027E-2</v>
      </c>
      <c r="J13" s="22">
        <f t="shared" si="4"/>
        <v>229773890728.00757</v>
      </c>
      <c r="K13" s="24">
        <f t="shared" si="5"/>
        <v>9291353209994446</v>
      </c>
      <c r="L13" s="24">
        <f t="shared" si="6"/>
        <v>258348307201891.59</v>
      </c>
      <c r="M13" s="24">
        <f t="shared" si="7"/>
        <v>3.6600843246892624E+16</v>
      </c>
      <c r="N13" s="24">
        <f t="shared" si="8"/>
        <v>1.234524965805404E+16</v>
      </c>
      <c r="O13" s="24">
        <f t="shared" si="9"/>
        <v>5.6237509679404648E+16</v>
      </c>
      <c r="Q13" s="61" t="s">
        <v>38</v>
      </c>
      <c r="R13" s="61"/>
    </row>
    <row r="14" spans="2:18">
      <c r="B14" s="42">
        <v>1850</v>
      </c>
      <c r="C14" s="38">
        <v>60</v>
      </c>
      <c r="D14" s="34">
        <f t="shared" si="0"/>
        <v>23257439.800246429</v>
      </c>
      <c r="E14" s="34">
        <v>23191876</v>
      </c>
      <c r="F14" s="16"/>
      <c r="G14" s="25">
        <f t="shared" si="1"/>
        <v>65563.800246428698</v>
      </c>
      <c r="H14" s="22">
        <f t="shared" si="2"/>
        <v>65563.800246428698</v>
      </c>
      <c r="I14" s="26">
        <f t="shared" si="3"/>
        <v>2.827015815642887E-3</v>
      </c>
      <c r="J14" s="22">
        <f t="shared" si="4"/>
        <v>4298611902.7536039</v>
      </c>
      <c r="K14" s="24">
        <f t="shared" si="5"/>
        <v>8148536171613555</v>
      </c>
      <c r="L14" s="24">
        <f t="shared" si="6"/>
        <v>99018302761327.375</v>
      </c>
      <c r="M14" s="24">
        <f t="shared" si="7"/>
        <v>3.4295723350218616E+16</v>
      </c>
      <c r="N14" s="24">
        <f t="shared" si="8"/>
        <v>1.1022218935403536E+16</v>
      </c>
      <c r="O14" s="24">
        <f t="shared" si="9"/>
        <v>5.3371195969002928E+16</v>
      </c>
      <c r="Q14" s="56" t="s">
        <v>33</v>
      </c>
      <c r="R14" s="57">
        <f>AVERAGE(H8:H20)</f>
        <v>310048.33971884451</v>
      </c>
    </row>
    <row r="15" spans="2:18">
      <c r="B15" s="42">
        <v>1860</v>
      </c>
      <c r="C15" s="38">
        <v>70</v>
      </c>
      <c r="D15" s="34">
        <f t="shared" si="0"/>
        <v>30507872.34959786</v>
      </c>
      <c r="E15" s="34">
        <v>31443321</v>
      </c>
      <c r="F15" s="16"/>
      <c r="G15" s="25">
        <f t="shared" si="1"/>
        <v>-935448.65040213987</v>
      </c>
      <c r="H15" s="22">
        <f t="shared" si="2"/>
        <v>935448.65040213987</v>
      </c>
      <c r="I15" s="23">
        <f t="shared" si="3"/>
        <v>-2.9750313282815764E-2</v>
      </c>
      <c r="J15" s="22">
        <f t="shared" si="4"/>
        <v>875064177539.18494</v>
      </c>
      <c r="K15" s="24">
        <f t="shared" si="5"/>
        <v>6726919134090273</v>
      </c>
      <c r="L15" s="24">
        <f t="shared" si="6"/>
        <v>2887787285239.3105</v>
      </c>
      <c r="M15" s="24">
        <f t="shared" si="7"/>
        <v>3.1307622241185012E+16</v>
      </c>
      <c r="N15" s="24">
        <f t="shared" si="8"/>
        <v>9357720394266720</v>
      </c>
      <c r="O15" s="24">
        <f t="shared" si="9"/>
        <v>4.9626750535456872E+16</v>
      </c>
      <c r="Q15" s="58" t="s">
        <v>34</v>
      </c>
      <c r="R15" s="57">
        <f>AVERAGE(J8:J20)</f>
        <v>230230332388.3602</v>
      </c>
    </row>
    <row r="16" spans="2:18">
      <c r="B16" s="42">
        <v>1870</v>
      </c>
      <c r="C16" s="38">
        <v>80</v>
      </c>
      <c r="D16" s="34">
        <f t="shared" si="0"/>
        <v>39505456.348480403</v>
      </c>
      <c r="E16" s="35">
        <v>38558371</v>
      </c>
      <c r="F16" s="16"/>
      <c r="G16" s="25">
        <f t="shared" si="1"/>
        <v>947085.34848040342</v>
      </c>
      <c r="H16" s="22">
        <f t="shared" si="2"/>
        <v>947085.34848040342</v>
      </c>
      <c r="I16" s="23">
        <f t="shared" si="3"/>
        <v>2.456237968352977E-2</v>
      </c>
      <c r="J16" s="22">
        <f t="shared" si="4"/>
        <v>896970657306.24719</v>
      </c>
      <c r="K16" s="24">
        <f t="shared" si="5"/>
        <v>5610421608016340</v>
      </c>
      <c r="L16" s="24">
        <f t="shared" si="6"/>
        <v>29329816488216.246</v>
      </c>
      <c r="M16" s="24">
        <f t="shared" si="7"/>
        <v>2.884037796796564E+16</v>
      </c>
      <c r="N16" s="24">
        <f t="shared" si="8"/>
        <v>8031791181708121</v>
      </c>
      <c r="O16" s="24">
        <f t="shared" si="9"/>
        <v>4.65073262275742E+16</v>
      </c>
      <c r="Q16" s="58" t="s">
        <v>35</v>
      </c>
      <c r="R16" s="57">
        <f>SQRT(R15)</f>
        <v>479823.23035505501</v>
      </c>
    </row>
    <row r="17" spans="2:18">
      <c r="B17" s="42">
        <v>1880</v>
      </c>
      <c r="C17" s="38">
        <v>90</v>
      </c>
      <c r="D17" s="34">
        <f t="shared" si="0"/>
        <v>50355380.013859048</v>
      </c>
      <c r="E17" s="34">
        <v>50189209</v>
      </c>
      <c r="F17" s="16"/>
      <c r="G17" s="25">
        <f t="shared" si="1"/>
        <v>166171.01385904849</v>
      </c>
      <c r="H17" s="22">
        <f t="shared" si="2"/>
        <v>166171.01385904849</v>
      </c>
      <c r="I17" s="23">
        <f t="shared" si="3"/>
        <v>3.3108912686599322E-3</v>
      </c>
      <c r="J17" s="22">
        <f t="shared" si="4"/>
        <v>27612805846.944084</v>
      </c>
      <c r="K17" s="24">
        <f t="shared" si="5"/>
        <v>4003334552866827.5</v>
      </c>
      <c r="L17" s="24">
        <f t="shared" si="6"/>
        <v>290584489255976.56</v>
      </c>
      <c r="M17" s="24">
        <f t="shared" si="7"/>
        <v>2.50252506889139E+16</v>
      </c>
      <c r="N17" s="24">
        <f t="shared" si="8"/>
        <v>6082350099872929</v>
      </c>
      <c r="O17" s="24">
        <f t="shared" si="9"/>
        <v>4.1626092550113E+16</v>
      </c>
      <c r="Q17" s="58" t="s">
        <v>36</v>
      </c>
      <c r="R17" s="57">
        <f>AVERAGE(E8:E20)</f>
        <v>33142670.076923076</v>
      </c>
    </row>
    <row r="18" spans="2:18">
      <c r="B18" s="42">
        <v>1890</v>
      </c>
      <c r="C18" s="38">
        <v>100</v>
      </c>
      <c r="D18" s="34">
        <f t="shared" si="0"/>
        <v>62995308.710184157</v>
      </c>
      <c r="E18" s="34">
        <v>62979766</v>
      </c>
      <c r="F18" s="16"/>
      <c r="G18" s="25">
        <f t="shared" si="1"/>
        <v>15542.710184156895</v>
      </c>
      <c r="H18" s="22">
        <f t="shared" si="2"/>
        <v>15542.710184156895</v>
      </c>
      <c r="I18" s="23">
        <f t="shared" si="3"/>
        <v>2.4678894780518705E-4</v>
      </c>
      <c r="J18" s="22">
        <f t="shared" si="4"/>
        <v>241575839.86869445</v>
      </c>
      <c r="K18" s="24">
        <f t="shared" si="5"/>
        <v>2548366967056374.5</v>
      </c>
      <c r="L18" s="24">
        <f t="shared" si="6"/>
        <v>890252293122893.63</v>
      </c>
      <c r="M18" s="24">
        <f t="shared" si="7"/>
        <v>2.1142077642575644E+16</v>
      </c>
      <c r="N18" s="24">
        <f t="shared" si="8"/>
        <v>4250892127685956</v>
      </c>
      <c r="O18" s="24">
        <f t="shared" si="9"/>
        <v>3.6570510889974016E+16</v>
      </c>
      <c r="Q18" s="58" t="s">
        <v>37</v>
      </c>
      <c r="R18" s="57">
        <f>1-SUM(J8:J20)/SUM(K8:K20)</f>
        <v>0.99996817417389816</v>
      </c>
    </row>
    <row r="19" spans="2:18">
      <c r="B19" s="42">
        <v>1900</v>
      </c>
      <c r="C19" s="38">
        <v>110</v>
      </c>
      <c r="D19" s="34">
        <f t="shared" si="0"/>
        <v>77142063.01747036</v>
      </c>
      <c r="E19" s="34">
        <v>76212168</v>
      </c>
      <c r="F19" s="16"/>
      <c r="G19" s="25">
        <f t="shared" si="1"/>
        <v>929895.0174703598</v>
      </c>
      <c r="H19" s="22">
        <f t="shared" si="2"/>
        <v>929895.0174703598</v>
      </c>
      <c r="I19" s="23">
        <f t="shared" si="3"/>
        <v>1.2201398305193992E-2</v>
      </c>
      <c r="J19" s="22">
        <f t="shared" si="4"/>
        <v>864704743516.20081</v>
      </c>
      <c r="K19" s="24">
        <f t="shared" si="5"/>
        <v>1387484325767767.5</v>
      </c>
      <c r="L19" s="24">
        <f t="shared" si="6"/>
        <v>1854981651345927.8</v>
      </c>
      <c r="M19" s="24">
        <f t="shared" si="7"/>
        <v>1.7469108092773282E+16</v>
      </c>
      <c r="N19" s="24">
        <f t="shared" si="8"/>
        <v>2700513380663296</v>
      </c>
      <c r="O19" s="24">
        <f t="shared" si="9"/>
        <v>3.1684632310011824E+16</v>
      </c>
      <c r="Q19" s="57"/>
      <c r="R19" s="57"/>
    </row>
    <row r="20" spans="2:18">
      <c r="B20" s="42">
        <v>1910</v>
      </c>
      <c r="C20" s="38">
        <v>120</v>
      </c>
      <c r="D20" s="34">
        <f t="shared" si="0"/>
        <v>92282348.18011032</v>
      </c>
      <c r="E20" s="34">
        <v>92228496</v>
      </c>
      <c r="F20" s="16"/>
      <c r="G20" s="25">
        <f t="shared" si="1"/>
        <v>53852.180110320449</v>
      </c>
      <c r="H20" s="22">
        <f t="shared" si="2"/>
        <v>53852.180110320449</v>
      </c>
      <c r="I20" s="23">
        <f t="shared" si="3"/>
        <v>5.8389958034575835E-4</v>
      </c>
      <c r="J20" s="22">
        <f t="shared" si="4"/>
        <v>2900057302.6343932</v>
      </c>
      <c r="K20" s="24">
        <f t="shared" si="5"/>
        <v>450824265305047.31</v>
      </c>
      <c r="L20" s="24">
        <f t="shared" si="6"/>
        <v>3491134825012149.5</v>
      </c>
      <c r="M20" s="24">
        <f t="shared" si="7"/>
        <v>1.349185057379454E+16</v>
      </c>
      <c r="N20" s="24">
        <f t="shared" si="8"/>
        <v>1292412278418496</v>
      </c>
      <c r="O20" s="24">
        <f t="shared" si="9"/>
        <v>2.6239285410042256E+16</v>
      </c>
      <c r="Q20" s="61" t="s">
        <v>39</v>
      </c>
      <c r="R20" s="61"/>
    </row>
    <row r="21" spans="2:18">
      <c r="B21" s="43">
        <v>1920</v>
      </c>
      <c r="C21" s="39">
        <v>130</v>
      </c>
      <c r="D21" s="36">
        <f t="shared" si="0"/>
        <v>107729327.7212922</v>
      </c>
      <c r="E21" s="36">
        <v>106021537</v>
      </c>
      <c r="F21" s="16"/>
      <c r="G21" s="27">
        <f t="shared" si="1"/>
        <v>1707790.7212921977</v>
      </c>
      <c r="H21" s="28">
        <f t="shared" si="2"/>
        <v>1707790.7212921977</v>
      </c>
      <c r="I21" s="29">
        <f t="shared" si="3"/>
        <v>1.6107960416497241E-2</v>
      </c>
      <c r="J21" s="28">
        <f t="shared" si="4"/>
        <v>2916549147731.7251</v>
      </c>
      <c r="K21" s="30">
        <f t="shared" si="5"/>
        <v>55347375375002.852</v>
      </c>
      <c r="L21" s="30">
        <f t="shared" si="6"/>
        <v>5311329243991556</v>
      </c>
      <c r="M21" s="30">
        <f t="shared" si="7"/>
        <v>1.0477853046062418E+16</v>
      </c>
      <c r="N21" s="30">
        <f t="shared" si="8"/>
        <v>490936858839025</v>
      </c>
      <c r="O21" s="30">
        <f t="shared" si="9"/>
        <v>2.1960989534794336E+16</v>
      </c>
      <c r="Q21" s="56" t="s">
        <v>33</v>
      </c>
      <c r="R21" s="57">
        <f>AVERAGE(H21:H31)</f>
        <v>49260172.273158245</v>
      </c>
    </row>
    <row r="22" spans="2:18">
      <c r="B22" s="43">
        <v>1930</v>
      </c>
      <c r="C22" s="39">
        <v>140</v>
      </c>
      <c r="D22" s="36">
        <f t="shared" si="0"/>
        <v>122739122.88685867</v>
      </c>
      <c r="E22" s="36">
        <v>123202624</v>
      </c>
      <c r="F22" s="16"/>
      <c r="G22" s="27">
        <f t="shared" si="1"/>
        <v>-463501.1131413281</v>
      </c>
      <c r="H22" s="28">
        <f t="shared" si="2"/>
        <v>463501.1131413281</v>
      </c>
      <c r="I22" s="29">
        <f t="shared" si="3"/>
        <v>-3.7621042319790857E-3</v>
      </c>
      <c r="J22" s="28">
        <f t="shared" si="4"/>
        <v>214833281883.25024</v>
      </c>
      <c r="K22" s="30">
        <f t="shared" si="5"/>
        <v>94896926159361.688</v>
      </c>
      <c r="L22" s="30">
        <f t="shared" si="6"/>
        <v>8110795300626739</v>
      </c>
      <c r="M22" s="30">
        <f t="shared" si="7"/>
        <v>7255683089932167</v>
      </c>
      <c r="N22" s="30">
        <f t="shared" si="8"/>
        <v>24760655616064</v>
      </c>
      <c r="O22" s="30">
        <f t="shared" si="9"/>
        <v>1.7163966005574204E+16</v>
      </c>
      <c r="Q22" s="58" t="s">
        <v>34</v>
      </c>
      <c r="R22" s="57">
        <f>AVERAGE(J21:J31)</f>
        <v>4794745437389591</v>
      </c>
    </row>
    <row r="23" spans="2:18">
      <c r="B23" s="43">
        <v>1940</v>
      </c>
      <c r="C23" s="39">
        <v>150</v>
      </c>
      <c r="D23" s="36">
        <f t="shared" si="0"/>
        <v>136648671.81304938</v>
      </c>
      <c r="E23" s="36">
        <v>132164569</v>
      </c>
      <c r="F23" s="16"/>
      <c r="G23" s="27">
        <f t="shared" si="1"/>
        <v>4484102.813049376</v>
      </c>
      <c r="H23" s="28">
        <f t="shared" si="2"/>
        <v>4484102.813049376</v>
      </c>
      <c r="I23" s="29">
        <f t="shared" si="3"/>
        <v>3.3928176416550611E-2</v>
      </c>
      <c r="J23" s="28">
        <f t="shared" si="4"/>
        <v>20107178037997.328</v>
      </c>
      <c r="K23" s="30">
        <f t="shared" si="5"/>
        <v>349819054371466.56</v>
      </c>
      <c r="L23" s="30">
        <f t="shared" si="6"/>
        <v>9805336466332064</v>
      </c>
      <c r="M23" s="30">
        <f t="shared" si="7"/>
        <v>5809237264743195</v>
      </c>
      <c r="N23" s="30">
        <f t="shared" si="8"/>
        <v>15887693767969</v>
      </c>
      <c r="O23" s="30">
        <f t="shared" si="9"/>
        <v>1.4896049972761872E+16</v>
      </c>
      <c r="Q23" s="58" t="s">
        <v>35</v>
      </c>
      <c r="R23" s="57">
        <f>SQRT(R22)</f>
        <v>69244100.379668385</v>
      </c>
    </row>
    <row r="24" spans="2:18">
      <c r="B24" s="43">
        <v>1950</v>
      </c>
      <c r="C24" s="39">
        <v>160</v>
      </c>
      <c r="D24" s="36">
        <f t="shared" si="0"/>
        <v>148983559.29732096</v>
      </c>
      <c r="E24" s="36">
        <v>151325798</v>
      </c>
      <c r="F24" s="16"/>
      <c r="G24" s="27">
        <f t="shared" si="1"/>
        <v>-2342238.702679038</v>
      </c>
      <c r="H24" s="28">
        <f t="shared" si="2"/>
        <v>2342238.702679038</v>
      </c>
      <c r="I24" s="29">
        <f t="shared" si="3"/>
        <v>-1.5478118956815532E-2</v>
      </c>
      <c r="J24" s="28">
        <f t="shared" si="4"/>
        <v>5486082140327.583</v>
      </c>
      <c r="K24" s="30">
        <f t="shared" si="5"/>
        <v>1433733941016160</v>
      </c>
      <c r="L24" s="30">
        <f t="shared" si="6"/>
        <v>1.3967251725682366E+16</v>
      </c>
      <c r="M24" s="30">
        <f t="shared" si="7"/>
        <v>3255515347281262</v>
      </c>
      <c r="N24" s="30">
        <f t="shared" si="8"/>
        <v>535791293831556</v>
      </c>
      <c r="O24" s="30">
        <f t="shared" si="9"/>
        <v>1.0585970616713928E+16</v>
      </c>
      <c r="Q24" s="58" t="s">
        <v>36</v>
      </c>
      <c r="R24" s="57">
        <f>AVERAGE(E21:E31)</f>
        <v>208382921.54545453</v>
      </c>
    </row>
    <row r="25" spans="2:18">
      <c r="B25" s="44">
        <v>1960</v>
      </c>
      <c r="C25" s="40">
        <v>170</v>
      </c>
      <c r="D25" s="37">
        <f t="shared" si="0"/>
        <v>159502294.64892316</v>
      </c>
      <c r="E25" s="37">
        <v>179323175</v>
      </c>
      <c r="F25" s="16"/>
      <c r="G25" s="31">
        <f t="shared" si="1"/>
        <v>-19820880.351076841</v>
      </c>
      <c r="H25" s="32">
        <f t="shared" si="2"/>
        <v>19820880.351076841</v>
      </c>
      <c r="I25" s="33">
        <f t="shared" si="3"/>
        <v>-0.11053161617887282</v>
      </c>
      <c r="J25" s="32">
        <f t="shared" si="4"/>
        <v>392867297891704</v>
      </c>
      <c r="K25" s="25">
        <f t="shared" si="5"/>
        <v>4337810464455173</v>
      </c>
      <c r="L25" s="25">
        <f t="shared" si="6"/>
        <v>2.1368740019565716E+16</v>
      </c>
      <c r="M25" s="25">
        <f t="shared" si="7"/>
        <v>844468869286056.63</v>
      </c>
      <c r="N25" s="25">
        <f t="shared" si="8"/>
        <v>2615764278678849</v>
      </c>
      <c r="O25" s="25">
        <f t="shared" si="9"/>
        <v>5608627302808722</v>
      </c>
      <c r="Q25" s="58" t="s">
        <v>37</v>
      </c>
      <c r="R25" s="57">
        <f>1-SUM(J21:J31)/SUM(K21:K31)</f>
        <v>0.66888996073076024</v>
      </c>
    </row>
    <row r="26" spans="2:18">
      <c r="B26" s="44">
        <v>1970</v>
      </c>
      <c r="C26" s="40">
        <v>180</v>
      </c>
      <c r="D26" s="37">
        <f t="shared" si="0"/>
        <v>168177081.45158452</v>
      </c>
      <c r="E26" s="37">
        <v>203302031</v>
      </c>
      <c r="F26" s="16"/>
      <c r="G26" s="31">
        <f t="shared" si="1"/>
        <v>-35124949.548415482</v>
      </c>
      <c r="H26" s="32">
        <f t="shared" si="2"/>
        <v>35124949.548415482</v>
      </c>
      <c r="I26" s="33">
        <f t="shared" si="3"/>
        <v>-0.1727722510967708</v>
      </c>
      <c r="J26" s="32">
        <f t="shared" si="4"/>
        <v>1233762080778733</v>
      </c>
      <c r="K26" s="25">
        <f t="shared" si="5"/>
        <v>8071389528885685</v>
      </c>
      <c r="L26" s="25">
        <f t="shared" si="6"/>
        <v>2.895420810974996E+16</v>
      </c>
      <c r="M26" s="25">
        <f t="shared" si="7"/>
        <v>25815448734889.25</v>
      </c>
      <c r="N26" s="25">
        <f t="shared" si="8"/>
        <v>5643525077313201</v>
      </c>
      <c r="O26" s="25">
        <f t="shared" si="9"/>
        <v>2592022899865829</v>
      </c>
      <c r="Q26" s="57"/>
      <c r="R26" s="57"/>
    </row>
    <row r="27" spans="2:18">
      <c r="B27" s="44">
        <v>1980</v>
      </c>
      <c r="C27" s="40">
        <v>190</v>
      </c>
      <c r="D27" s="37">
        <f t="shared" si="0"/>
        <v>175135872.57694671</v>
      </c>
      <c r="E27" s="37">
        <v>226545805</v>
      </c>
      <c r="F27" s="16"/>
      <c r="G27" s="31">
        <f t="shared" si="1"/>
        <v>-51409932.423053294</v>
      </c>
      <c r="H27" s="32">
        <f t="shared" si="2"/>
        <v>51409932.423053294</v>
      </c>
      <c r="I27" s="33">
        <f t="shared" si="3"/>
        <v>-0.22692952722321783</v>
      </c>
      <c r="J27" s="32">
        <f t="shared" si="4"/>
        <v>2642981151742906.5</v>
      </c>
      <c r="K27" s="25">
        <f t="shared" si="5"/>
        <v>1.2788146283108386E+16</v>
      </c>
      <c r="L27" s="25">
        <f t="shared" si="6"/>
        <v>3.7404772598073896E+16</v>
      </c>
      <c r="M27" s="25">
        <f t="shared" si="7"/>
        <v>329890335383401.5</v>
      </c>
      <c r="N27" s="25">
        <f t="shared" si="8"/>
        <v>9676100724011928</v>
      </c>
      <c r="O27" s="25">
        <f t="shared" si="9"/>
        <v>765525923628503.13</v>
      </c>
      <c r="Q27" s="61" t="s">
        <v>40</v>
      </c>
      <c r="R27" s="61"/>
    </row>
    <row r="28" spans="2:18">
      <c r="B28" s="44">
        <v>1990</v>
      </c>
      <c r="C28" s="40">
        <v>200</v>
      </c>
      <c r="D28" s="37">
        <f t="shared" si="0"/>
        <v>180595211.23068371</v>
      </c>
      <c r="E28" s="37">
        <v>248709873</v>
      </c>
      <c r="F28" s="16"/>
      <c r="G28" s="31">
        <f t="shared" si="1"/>
        <v>-68114661.769316286</v>
      </c>
      <c r="H28" s="32">
        <f t="shared" si="2"/>
        <v>68114661.769316286</v>
      </c>
      <c r="I28" s="33">
        <f t="shared" si="3"/>
        <v>-0.27387196554644327</v>
      </c>
      <c r="J28" s="32">
        <f t="shared" si="4"/>
        <v>4639607147948358</v>
      </c>
      <c r="K28" s="25">
        <f t="shared" si="5"/>
        <v>1.8292225548718348E+16</v>
      </c>
      <c r="L28" s="25">
        <f t="shared" si="6"/>
        <v>4.6469218976079024E+16</v>
      </c>
      <c r="M28" s="25">
        <f t="shared" si="7"/>
        <v>1626263013617266.8</v>
      </c>
      <c r="N28" s="25">
        <f t="shared" si="8"/>
        <v>1.452778005700008E+16</v>
      </c>
      <c r="O28" s="25">
        <f t="shared" si="9"/>
        <v>30294799145632.641</v>
      </c>
      <c r="Q28" s="56" t="s">
        <v>33</v>
      </c>
      <c r="R28" s="57">
        <f>AVERAGE(H21:H24)</f>
        <v>2249408.337540485</v>
      </c>
    </row>
    <row r="29" spans="2:18">
      <c r="B29" s="44">
        <v>2000</v>
      </c>
      <c r="C29" s="41">
        <v>210</v>
      </c>
      <c r="D29" s="37">
        <f t="shared" si="0"/>
        <v>184803860.94381759</v>
      </c>
      <c r="E29" s="37">
        <v>281421906</v>
      </c>
      <c r="F29" s="16"/>
      <c r="G29" s="31">
        <f t="shared" si="1"/>
        <v>-96618045.056182414</v>
      </c>
      <c r="H29" s="32">
        <f t="shared" si="2"/>
        <v>96618045.056182414</v>
      </c>
      <c r="I29" s="33">
        <f t="shared" si="3"/>
        <v>-0.34332098175819481</v>
      </c>
      <c r="J29" s="32">
        <f t="shared" si="4"/>
        <v>9335046630478496</v>
      </c>
      <c r="K29" s="25">
        <f t="shared" si="5"/>
        <v>2.821082608163322E+16</v>
      </c>
      <c r="L29" s="25">
        <f t="shared" si="6"/>
        <v>6.1642578990546896E+16</v>
      </c>
      <c r="M29" s="25">
        <f t="shared" si="7"/>
        <v>5334693250151335</v>
      </c>
      <c r="N29" s="25">
        <f t="shared" si="8"/>
        <v>2.3483501026239076E+16</v>
      </c>
      <c r="O29" s="25">
        <f t="shared" si="9"/>
        <v>740273188419741</v>
      </c>
      <c r="Q29" s="58" t="s">
        <v>34</v>
      </c>
      <c r="R29" s="57">
        <f>AVERAGE(J21:J24)</f>
        <v>7181160651984.9717</v>
      </c>
    </row>
    <row r="30" spans="2:18">
      <c r="B30" s="44">
        <v>2010</v>
      </c>
      <c r="C30" s="40">
        <v>220</v>
      </c>
      <c r="D30" s="37">
        <f t="shared" si="0"/>
        <v>188004761.74763182</v>
      </c>
      <c r="E30" s="37">
        <v>308745538</v>
      </c>
      <c r="F30" s="16"/>
      <c r="G30" s="31">
        <f t="shared" si="1"/>
        <v>-120740776.25236818</v>
      </c>
      <c r="H30" s="32">
        <f t="shared" si="2"/>
        <v>120740776.25236818</v>
      </c>
      <c r="I30" s="33">
        <f t="shared" si="3"/>
        <v>-0.39106889458065036</v>
      </c>
      <c r="J30" s="32">
        <f t="shared" si="4"/>
        <v>1.4578335050024436E+16</v>
      </c>
      <c r="K30" s="25">
        <f t="shared" si="5"/>
        <v>3.8136004434357168E+16</v>
      </c>
      <c r="L30" s="25">
        <f t="shared" si="6"/>
        <v>7.5956940807424992E+16</v>
      </c>
      <c r="M30" s="25">
        <f t="shared" si="7"/>
        <v>1.00726547816022E+16</v>
      </c>
      <c r="N30" s="25">
        <f t="shared" si="8"/>
        <v>3.2604407542412836E+16</v>
      </c>
      <c r="O30" s="25">
        <f t="shared" si="9"/>
        <v>2973694728600381.5</v>
      </c>
      <c r="Q30" s="58" t="s">
        <v>35</v>
      </c>
      <c r="R30" s="57">
        <f>SQRT(R29)</f>
        <v>2679768.7683800203</v>
      </c>
    </row>
    <row r="31" spans="2:18">
      <c r="B31" s="44">
        <v>2020</v>
      </c>
      <c r="C31" s="40">
        <v>230</v>
      </c>
      <c r="D31" s="37">
        <f t="shared" si="0"/>
        <v>190414264.74583375</v>
      </c>
      <c r="E31" s="37">
        <v>331449281</v>
      </c>
      <c r="F31" s="16"/>
      <c r="G31" s="31">
        <f t="shared" si="1"/>
        <v>-141035016.25416625</v>
      </c>
      <c r="H31" s="32">
        <f t="shared" si="2"/>
        <v>141035016.25416625</v>
      </c>
      <c r="I31" s="33">
        <f t="shared" si="3"/>
        <v>-0.42551009864512646</v>
      </c>
      <c r="J31" s="32">
        <f t="shared" si="4"/>
        <v>1.9890875809812936E+16</v>
      </c>
      <c r="K31" s="25">
        <f t="shared" si="5"/>
        <v>4.751883891746368E+16</v>
      </c>
      <c r="L31" s="25">
        <f t="shared" si="6"/>
        <v>8.8986834120412E+16</v>
      </c>
      <c r="M31" s="25">
        <f t="shared" si="7"/>
        <v>1.5145328829395392E+16</v>
      </c>
      <c r="N31" s="25">
        <f t="shared" si="8"/>
        <v>4.13189567448812E+16</v>
      </c>
      <c r="O31" s="25">
        <f t="shared" si="9"/>
        <v>5965297259436331</v>
      </c>
      <c r="Q31" s="58" t="s">
        <v>36</v>
      </c>
      <c r="R31" s="57">
        <f>AVERAGE(E21:E24)</f>
        <v>128178632</v>
      </c>
    </row>
    <row r="32" spans="2:18">
      <c r="Q32" s="58" t="s">
        <v>37</v>
      </c>
      <c r="R32" s="57">
        <f>1-SUM(J21:J24)/SUM(K21:K24)</f>
        <v>0.98514599091969945</v>
      </c>
    </row>
    <row r="33" spans="8:18">
      <c r="Q33" s="57"/>
      <c r="R33" s="57"/>
    </row>
    <row r="34" spans="8:18">
      <c r="Q34" s="61" t="s">
        <v>41</v>
      </c>
      <c r="R34" s="61"/>
    </row>
    <row r="35" spans="8:18">
      <c r="Q35" s="56" t="s">
        <v>33</v>
      </c>
      <c r="R35" s="57">
        <f>AVERAGE(H25:H31)</f>
        <v>76123465.950654119</v>
      </c>
    </row>
    <row r="36" spans="8:18">
      <c r="Q36" s="58" t="s">
        <v>34</v>
      </c>
      <c r="R36" s="57">
        <f>AVERAGE(J25:J31)</f>
        <v>7530496452668224</v>
      </c>
    </row>
    <row r="37" spans="8:18">
      <c r="Q37" s="58" t="s">
        <v>35</v>
      </c>
      <c r="R37" s="57">
        <f>SQRT(R36)</f>
        <v>86778433.107934281</v>
      </c>
    </row>
    <row r="38" spans="8:18">
      <c r="Q38" s="58" t="s">
        <v>36</v>
      </c>
      <c r="R38" s="57">
        <f>AVERAGE(E25:E31)</f>
        <v>254213944.14285713</v>
      </c>
    </row>
    <row r="39" spans="8:18">
      <c r="Q39" s="58" t="s">
        <v>37</v>
      </c>
      <c r="R39" s="57">
        <f>1-SUM(J25:J31)/SUM(K25:K31)</f>
        <v>0.66500337232466133</v>
      </c>
    </row>
    <row r="43" spans="8:18" ht="15">
      <c r="H43" s="18" t="s">
        <v>1</v>
      </c>
      <c r="I43" t="s">
        <v>26</v>
      </c>
    </row>
    <row r="44" spans="8:18" ht="15">
      <c r="H44" s="42">
        <v>1790</v>
      </c>
      <c r="I44">
        <v>-1.1851257969348048E-16</v>
      </c>
    </row>
    <row r="45" spans="8:18" ht="15">
      <c r="H45" s="42">
        <v>1800</v>
      </c>
      <c r="I45">
        <v>5.7500582708792597E-3</v>
      </c>
    </row>
    <row r="46" spans="8:18" ht="15">
      <c r="H46" s="42">
        <v>1810</v>
      </c>
      <c r="I46">
        <v>-5.7746288954991696E-4</v>
      </c>
    </row>
    <row r="47" spans="8:18" ht="15">
      <c r="H47" s="42">
        <v>1820</v>
      </c>
      <c r="I47">
        <v>1.3844413087009464E-2</v>
      </c>
    </row>
    <row r="48" spans="8:18" ht="15">
      <c r="H48" s="42">
        <v>1830</v>
      </c>
      <c r="I48">
        <v>2.0952770351986661E-2</v>
      </c>
    </row>
    <row r="49" spans="2:9" ht="15">
      <c r="H49" s="42">
        <v>1840</v>
      </c>
      <c r="I49">
        <v>2.8082174581347027E-2</v>
      </c>
    </row>
    <row r="50" spans="2:9" ht="15">
      <c r="H50" s="42">
        <v>1850</v>
      </c>
      <c r="I50">
        <v>2.827015815642887E-3</v>
      </c>
    </row>
    <row r="51" spans="2:9" ht="15">
      <c r="H51" s="42">
        <v>1860</v>
      </c>
      <c r="I51">
        <v>-2.9750313282815764E-2</v>
      </c>
    </row>
    <row r="52" spans="2:9" ht="15">
      <c r="H52" s="42">
        <v>1870</v>
      </c>
      <c r="I52">
        <v>2.456237968352977E-2</v>
      </c>
    </row>
    <row r="53" spans="2:9" ht="15">
      <c r="H53" s="42">
        <v>1880</v>
      </c>
      <c r="I53">
        <v>3.3108912686599322E-3</v>
      </c>
    </row>
    <row r="54" spans="2:9" ht="15">
      <c r="H54" s="42">
        <v>1890</v>
      </c>
      <c r="I54">
        <v>2.4678894780518705E-4</v>
      </c>
    </row>
    <row r="55" spans="2:9" ht="15">
      <c r="B55" s="1"/>
      <c r="C55" s="1"/>
      <c r="D55" s="7"/>
      <c r="H55" s="42">
        <v>1900</v>
      </c>
      <c r="I55">
        <v>1.2201398305193992E-2</v>
      </c>
    </row>
    <row r="56" spans="2:9" ht="15">
      <c r="B56" s="1"/>
      <c r="C56" s="1"/>
      <c r="D56" s="7"/>
      <c r="H56" s="42">
        <v>1910</v>
      </c>
      <c r="I56">
        <v>5.8389958034575835E-4</v>
      </c>
    </row>
    <row r="57" spans="2:9" ht="15">
      <c r="B57" s="1"/>
      <c r="C57" s="1"/>
      <c r="D57" s="7"/>
      <c r="H57" s="43">
        <v>1920</v>
      </c>
      <c r="I57">
        <v>1.6107960416497241E-2</v>
      </c>
    </row>
    <row r="58" spans="2:9" ht="15">
      <c r="B58" s="1"/>
      <c r="C58" s="1"/>
      <c r="D58" s="7"/>
      <c r="H58" s="43">
        <v>1930</v>
      </c>
      <c r="I58">
        <v>-3.7621042319790857E-3</v>
      </c>
    </row>
    <row r="59" spans="2:9" ht="15">
      <c r="H59" s="43">
        <v>1940</v>
      </c>
      <c r="I59">
        <v>3.3928176416550611E-2</v>
      </c>
    </row>
    <row r="60" spans="2:9" ht="15">
      <c r="H60" s="43">
        <v>1950</v>
      </c>
      <c r="I60">
        <v>-1.5478118956815532E-2</v>
      </c>
    </row>
    <row r="61" spans="2:9" ht="15">
      <c r="H61" s="44">
        <v>1960</v>
      </c>
      <c r="I61">
        <v>-0.11053161617887282</v>
      </c>
    </row>
    <row r="62" spans="2:9" ht="15">
      <c r="H62" s="44">
        <v>1970</v>
      </c>
      <c r="I62">
        <v>-0.1727722510967708</v>
      </c>
    </row>
    <row r="63" spans="2:9" ht="15">
      <c r="H63" s="44">
        <v>1980</v>
      </c>
      <c r="I63">
        <v>-0.22692952722321783</v>
      </c>
    </row>
    <row r="64" spans="2:9" ht="15">
      <c r="H64" s="44">
        <v>1990</v>
      </c>
      <c r="I64">
        <v>-0.27387196554644327</v>
      </c>
    </row>
    <row r="65" spans="8:9" ht="15">
      <c r="H65" s="44">
        <v>2000</v>
      </c>
      <c r="I65">
        <v>-0.34332098175819481</v>
      </c>
    </row>
    <row r="66" spans="8:9" ht="15">
      <c r="H66" s="44">
        <v>2010</v>
      </c>
      <c r="I66">
        <v>-0.39106889458065036</v>
      </c>
    </row>
    <row r="67" spans="8:9" ht="15">
      <c r="H67" s="44">
        <v>2020</v>
      </c>
      <c r="I67">
        <v>-0.42551009864512646</v>
      </c>
    </row>
  </sheetData>
  <mergeCells count="6">
    <mergeCell ref="Q27:R27"/>
    <mergeCell ref="Q34:R34"/>
    <mergeCell ref="Q6:R6"/>
    <mergeCell ref="K6:O6"/>
    <mergeCell ref="Q13:R13"/>
    <mergeCell ref="Q20:R20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b3fd8d1-1672-42a9-929d-298c8a5b0be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F9E9C0F3484440B45F946FF25E7AC1" ma:contentTypeVersion="15" ma:contentTypeDescription="Create a new document." ma:contentTypeScope="" ma:versionID="75e413cf29342c8d7698eefc561fbfc3">
  <xsd:schema xmlns:xsd="http://www.w3.org/2001/XMLSchema" xmlns:xs="http://www.w3.org/2001/XMLSchema" xmlns:p="http://schemas.microsoft.com/office/2006/metadata/properties" xmlns:ns3="9b3fd8d1-1672-42a9-929d-298c8a5b0beb" xmlns:ns4="925c1d0d-7903-4c94-ba39-a1add57c5125" targetNamespace="http://schemas.microsoft.com/office/2006/metadata/properties" ma:root="true" ma:fieldsID="c5363fcf5f8e32b4c94520aea9fc4357" ns3:_="" ns4:_="">
    <xsd:import namespace="9b3fd8d1-1672-42a9-929d-298c8a5b0beb"/>
    <xsd:import namespace="925c1d0d-7903-4c94-ba39-a1add57c51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3fd8d1-1672-42a9-929d-298c8a5b0b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5c1d0d-7903-4c94-ba39-a1add57c512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3EAA97-FF2D-4ABB-9EE5-6D201EF47045}"/>
</file>

<file path=customXml/itemProps2.xml><?xml version="1.0" encoding="utf-8"?>
<ds:datastoreItem xmlns:ds="http://schemas.openxmlformats.org/officeDocument/2006/customXml" ds:itemID="{088FC168-E52D-4D65-83AB-37BC75D61667}"/>
</file>

<file path=customXml/itemProps3.xml><?xml version="1.0" encoding="utf-8"?>
<ds:datastoreItem xmlns:ds="http://schemas.openxmlformats.org/officeDocument/2006/customXml" ds:itemID="{009C9431-D737-46DA-9877-C9FDD4A667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Universidad de las Américas Puebla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User0</dc:creator>
  <cp:keywords/>
  <dc:description/>
  <cp:lastModifiedBy/>
  <cp:revision/>
  <dcterms:created xsi:type="dcterms:W3CDTF">2023-04-24T22:26:57Z</dcterms:created>
  <dcterms:modified xsi:type="dcterms:W3CDTF">2025-05-17T01:27:52Z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0x01010025F9E9C0F3484440B45F946FF25E7AC1</vt:lpwstr>
  </property>
</Properties>
</file>